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480" windowHeight="11460" tabRatio="860" firstSheet="3" activeTab="11"/>
  </bookViews>
  <sheets>
    <sheet name="Javaslat Borító" sheetId="1" state="hidden" r:id="rId1"/>
    <sheet name="Javaslat" sheetId="2" state="hidden" r:id="rId2"/>
    <sheet name="Rendelet_tervezet" sheetId="3" state="hidden" r:id="rId3"/>
    <sheet name="Borító" sheetId="4" r:id="rId4"/>
    <sheet name="Tartalomjegyzék" sheetId="5" r:id="rId5"/>
    <sheet name="1. melléklet" sheetId="6" r:id="rId6"/>
    <sheet name="2. melléklet" sheetId="7" r:id="rId7"/>
    <sheet name="3. melléklet" sheetId="8" r:id="rId8"/>
    <sheet name="4. melléklet" sheetId="9" r:id="rId9"/>
    <sheet name="5. melléklet" sheetId="10" r:id="rId10"/>
    <sheet name="6. melléklet" sheetId="11" r:id="rId11"/>
    <sheet name="7. melléklet" sheetId="12" r:id="rId12"/>
  </sheets>
  <externalReferences>
    <externalReference r:id="rId15"/>
  </externalReferences>
  <definedNames>
    <definedName name="enczi">'[1]rszakfössz'!$D$123</definedName>
    <definedName name="_xlnm.Print_Titles" localSheetId="10">'6. melléklet'!$3:$8</definedName>
    <definedName name="_xlnm.Print_Titles" localSheetId="11">'7. melléklet'!$1:$12</definedName>
    <definedName name="_xlnm.Print_Titles" localSheetId="1">'Javaslat'!$5:$8</definedName>
    <definedName name="_xlnm.Print_Area" localSheetId="5">'1. melléklet'!$A$1:$L$102</definedName>
    <definedName name="_xlnm.Print_Area" localSheetId="6">'2. melléklet'!$A$1:$DC$78</definedName>
    <definedName name="_xlnm.Print_Area" localSheetId="7">'3. melléklet'!$A$1:$AD$78</definedName>
    <definedName name="_xlnm.Print_Area" localSheetId="8">'4. melléklet'!$A$1:$O$78</definedName>
    <definedName name="_xlnm.Print_Area" localSheetId="9">'5. melléklet'!$A$1:$BK$79</definedName>
    <definedName name="_xlnm.Print_Area" localSheetId="10">'6. melléklet'!$A$1:$D$38</definedName>
    <definedName name="_xlnm.Print_Area" localSheetId="11">'7. melléklet'!$A$1:$L$159</definedName>
    <definedName name="_xlnm.Print_Area" localSheetId="3">'Borító'!$A$1:$L$32</definedName>
    <definedName name="_xlnm.Print_Area" localSheetId="1">'Javaslat'!$A$1:$N$609</definedName>
    <definedName name="_xlnm.Print_Area" localSheetId="2">'Rendelet_tervezet'!$A$1:$I$92</definedName>
    <definedName name="_xlnm.Print_Area" localSheetId="4">'Tartalomjegyzék'!$A$1:$B$14</definedName>
    <definedName name="OLE_LINK1" localSheetId="0">'Javaslat Borító'!$A$1</definedName>
  </definedNames>
  <calcPr fullCalcOnLoad="1"/>
</workbook>
</file>

<file path=xl/sharedStrings.xml><?xml version="1.0" encoding="utf-8"?>
<sst xmlns="http://schemas.openxmlformats.org/spreadsheetml/2006/main" count="4977" uniqueCount="1405">
  <si>
    <t>- 1. melléklet</t>
  </si>
  <si>
    <t>- 2. melléklet</t>
  </si>
  <si>
    <t>- 3. melléklet</t>
  </si>
  <si>
    <t>- 4. melléklet</t>
  </si>
  <si>
    <t>- 5. melléklet</t>
  </si>
  <si>
    <t>- 6. melléklet</t>
  </si>
  <si>
    <t>- 7. melléklet</t>
  </si>
  <si>
    <t>Céltartalékok és általános tartalék</t>
  </si>
  <si>
    <t>adatok eFt-ban</t>
  </si>
  <si>
    <t>A</t>
  </si>
  <si>
    <t>B</t>
  </si>
  <si>
    <t>C</t>
  </si>
  <si>
    <t>D</t>
  </si>
  <si>
    <t>E</t>
  </si>
  <si>
    <t>Beruházások, felújítások, támogatás értékű felhalmozási kiadások, felhalmozási célú pénzeszközátadások</t>
  </si>
  <si>
    <t>Pénzma-radványból</t>
  </si>
  <si>
    <t>EU támogatás</t>
  </si>
  <si>
    <t>Működési bevételből</t>
  </si>
  <si>
    <t>finanszírozott fejlesztések</t>
  </si>
  <si>
    <t>Áthúzódó</t>
  </si>
  <si>
    <t>1.</t>
  </si>
  <si>
    <t>2.</t>
  </si>
  <si>
    <t>3.</t>
  </si>
  <si>
    <t>4.</t>
  </si>
  <si>
    <t>5.</t>
  </si>
  <si>
    <t>6.</t>
  </si>
  <si>
    <t>7.</t>
  </si>
  <si>
    <t>8.</t>
  </si>
  <si>
    <t>9.</t>
  </si>
  <si>
    <t>10.</t>
  </si>
  <si>
    <t>11.</t>
  </si>
  <si>
    <t>12.</t>
  </si>
  <si>
    <t>13.</t>
  </si>
  <si>
    <t>14.</t>
  </si>
  <si>
    <t>15.</t>
  </si>
  <si>
    <t>16.</t>
  </si>
  <si>
    <t>17.</t>
  </si>
  <si>
    <t>18.</t>
  </si>
  <si>
    <t>19.</t>
  </si>
  <si>
    <t>20.</t>
  </si>
  <si>
    <t>Városi lámpahely bővítés</t>
  </si>
  <si>
    <t>21.</t>
  </si>
  <si>
    <t>22.</t>
  </si>
  <si>
    <t>Tervkészítések</t>
  </si>
  <si>
    <t>23.</t>
  </si>
  <si>
    <t>24.</t>
  </si>
  <si>
    <t>25.</t>
  </si>
  <si>
    <t>Helyi védettség alatt lévő épületek felújításának támogatása</t>
  </si>
  <si>
    <t>26.</t>
  </si>
  <si>
    <t>27.</t>
  </si>
  <si>
    <t>28.</t>
  </si>
  <si>
    <t>29.</t>
  </si>
  <si>
    <t>Autóbusz pályaudvar pályázati önerő</t>
  </si>
  <si>
    <t>30.</t>
  </si>
  <si>
    <t>31.</t>
  </si>
  <si>
    <t>32.</t>
  </si>
  <si>
    <t>33.</t>
  </si>
  <si>
    <t>34.</t>
  </si>
  <si>
    <t>35.</t>
  </si>
  <si>
    <t>36.</t>
  </si>
  <si>
    <t>37.</t>
  </si>
  <si>
    <t>38.</t>
  </si>
  <si>
    <t>39.</t>
  </si>
  <si>
    <t>Intézmények</t>
  </si>
  <si>
    <t>40.</t>
  </si>
  <si>
    <t>41.</t>
  </si>
  <si>
    <t>42.</t>
  </si>
  <si>
    <t>43.</t>
  </si>
  <si>
    <t>44.</t>
  </si>
  <si>
    <t>45.</t>
  </si>
  <si>
    <t>46.</t>
  </si>
  <si>
    <t>47.</t>
  </si>
  <si>
    <t>48.</t>
  </si>
  <si>
    <t>49.</t>
  </si>
  <si>
    <t>50.</t>
  </si>
  <si>
    <t>51.</t>
  </si>
  <si>
    <t>52.</t>
  </si>
  <si>
    <t>53.</t>
  </si>
  <si>
    <t>54.</t>
  </si>
  <si>
    <t>Összesen:</t>
  </si>
  <si>
    <t>55.</t>
  </si>
  <si>
    <t>56.</t>
  </si>
  <si>
    <t>Végösszesen:</t>
  </si>
  <si>
    <t>CÉLTARTALÉKOK ÉS ÁLTALÁNOS TARTALÉK</t>
  </si>
  <si>
    <t xml:space="preserve"> </t>
  </si>
  <si>
    <t xml:space="preserve">Céltartalékok  </t>
  </si>
  <si>
    <t>Működési célú</t>
  </si>
  <si>
    <t>Évközi normatíva lemondás</t>
  </si>
  <si>
    <t>Fejlesztési célú</t>
  </si>
  <si>
    <t>Választókörzeti feladatokra</t>
  </si>
  <si>
    <t>Céltartalékok összesen</t>
  </si>
  <si>
    <t>Általános tartalékok összesen</t>
  </si>
  <si>
    <t>TARTALÉKOK ÖSSZESEN</t>
  </si>
  <si>
    <t>Napsugár Óvoda</t>
  </si>
  <si>
    <t>Meseház Óvoda</t>
  </si>
  <si>
    <t>Pitypang Óvoda</t>
  </si>
  <si>
    <t>Nefelejcs Bölcsőde</t>
  </si>
  <si>
    <t>Lamberg-kastély Kulturális Központ</t>
  </si>
  <si>
    <t>Összesen</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</si>
  <si>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</si>
  <si>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</si>
  <si>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</si>
  <si>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</si>
  <si>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</si>
  <si>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</si>
  <si>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</si>
  <si>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</si>
  <si>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</si>
  <si>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</si>
  <si>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</si>
  <si>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</si>
  <si>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</si>
  <si>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</si>
  <si>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</si>
  <si>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</si>
  <si>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</si>
  <si>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</si>
  <si>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</si>
  <si>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</si>
  <si>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Mór Városi Önkormányzat kiemelt előirányzatai összesen</t>
  </si>
  <si>
    <t>Móri Polgármesteri Hivatal kiemelt előirányzatai összesen</t>
  </si>
  <si>
    <t>Intézmények kiemelt előirányzatai összesen</t>
  </si>
  <si>
    <t>ÖNKORMÁNYZAT ÖSSZESEN</t>
  </si>
  <si>
    <t>Megnevezés</t>
  </si>
  <si>
    <t>F</t>
  </si>
  <si>
    <t>G</t>
  </si>
  <si>
    <t>H</t>
  </si>
  <si>
    <t>I</t>
  </si>
  <si>
    <t>J</t>
  </si>
  <si>
    <t>K</t>
  </si>
  <si>
    <t>Felújítások</t>
  </si>
  <si>
    <t>INTÉZMÉNYEK ÖSSZESEN</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</si>
  <si>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</si>
  <si>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</si>
  <si>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</si>
  <si>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</si>
  <si>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</si>
  <si>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</si>
  <si>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</si>
  <si>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</si>
  <si>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</si>
  <si>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</si>
  <si>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</si>
  <si>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</si>
  <si>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</si>
  <si>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</si>
  <si>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</si>
  <si>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</si>
  <si>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</si>
  <si>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</si>
  <si>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</si>
  <si>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</si>
  <si>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</si>
  <si>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</si>
  <si>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</si>
  <si>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</si>
  <si>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</si>
  <si>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</si>
  <si>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</si>
  <si>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</si>
  <si>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</si>
  <si>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</si>
  <si>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</si>
  <si>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</si>
  <si>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</si>
  <si>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</si>
  <si>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</si>
  <si>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</si>
  <si>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</si>
  <si>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</si>
  <si>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</si>
  <si>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</si>
  <si>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</si>
  <si>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</si>
  <si>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</si>
  <si>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</si>
  <si>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</si>
  <si>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</si>
  <si>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</si>
  <si>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</si>
  <si>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</si>
  <si>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</si>
  <si>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</si>
  <si>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</si>
  <si>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</si>
  <si>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</si>
  <si>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</si>
  <si>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</si>
  <si>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</si>
  <si>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</si>
  <si>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</si>
  <si>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</si>
  <si>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</si>
  <si>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</si>
  <si>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</si>
  <si>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</si>
  <si>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</si>
  <si>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</si>
  <si>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</si>
  <si>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</si>
  <si>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</si>
  <si>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</si>
  <si>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</si>
  <si>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</si>
  <si>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</si>
  <si>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</si>
  <si>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</si>
  <si>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</si>
  <si>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</si>
  <si>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</si>
  <si>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</si>
  <si>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</si>
  <si>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</si>
  <si>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</si>
  <si>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</si>
  <si>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</si>
  <si>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Beruházások</t>
  </si>
  <si>
    <t>KEOP 5.5.0/B pályázat előkészítési költségei</t>
  </si>
  <si>
    <t>KEOP 5.5.0/B pályázat pályázati önerő</t>
  </si>
  <si>
    <t>Mórhő Kft. fejlesztési támogatás</t>
  </si>
  <si>
    <t>Lakásalap</t>
  </si>
  <si>
    <t>Szennyvízátemelő berendezések beszerzése és gerincvezeték kiépítése</t>
  </si>
  <si>
    <t>Intézményi kis összegű felújítások</t>
  </si>
  <si>
    <t>Intézményi játszóterek szabványosítása</t>
  </si>
  <si>
    <t>Fejlesztési célú céltartalékok</t>
  </si>
  <si>
    <t>Irányító szervtől kapott támogatás</t>
  </si>
  <si>
    <t>AR</t>
  </si>
  <si>
    <t>AS</t>
  </si>
  <si>
    <t>AT</t>
  </si>
  <si>
    <t>AV</t>
  </si>
  <si>
    <t>AW</t>
  </si>
  <si>
    <t>AU</t>
  </si>
  <si>
    <t>AZ</t>
  </si>
  <si>
    <t>AX</t>
  </si>
  <si>
    <t>Környezetvédelmi alap</t>
  </si>
  <si>
    <t>Építéshatósági alap</t>
  </si>
  <si>
    <t>BA</t>
  </si>
  <si>
    <t>BB</t>
  </si>
  <si>
    <t>BC</t>
  </si>
  <si>
    <t>BD</t>
  </si>
  <si>
    <t>BE</t>
  </si>
  <si>
    <t>BF</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</si>
  <si>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</si>
  <si>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</si>
  <si>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</si>
  <si>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</si>
  <si>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</si>
  <si>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</si>
  <si>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</si>
  <si>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</si>
  <si>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</si>
  <si>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</si>
  <si>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</si>
  <si>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</si>
  <si>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</si>
  <si>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</si>
  <si>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</si>
  <si>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</si>
  <si>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</si>
  <si>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</si>
  <si>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</si>
  <si>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</si>
  <si>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</si>
  <si>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</si>
  <si>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</si>
  <si>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</si>
  <si>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</si>
  <si>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</si>
  <si>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</si>
  <si>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</si>
  <si>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</si>
  <si>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</si>
  <si>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</si>
  <si>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</si>
  <si>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</si>
  <si>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</si>
  <si>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</si>
  <si>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</si>
  <si>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</si>
  <si>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</si>
  <si>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</si>
  <si>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</si>
  <si>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</si>
  <si>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</si>
  <si>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</si>
  <si>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</si>
  <si>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</si>
  <si>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</si>
  <si>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</si>
  <si>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</si>
  <si>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</si>
  <si>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</si>
  <si>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</si>
  <si>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</si>
  <si>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</si>
  <si>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</si>
  <si>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</si>
  <si>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</si>
  <si>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</si>
  <si>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</si>
  <si>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</si>
  <si>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</si>
  <si>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</si>
  <si>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</si>
  <si>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</si>
  <si>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</si>
  <si>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</si>
  <si>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</si>
  <si>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</si>
  <si>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</si>
  <si>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</si>
  <si>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</si>
  <si>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</si>
  <si>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</si>
  <si>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</si>
  <si>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</si>
  <si>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</si>
  <si>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</si>
  <si>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</si>
  <si>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</si>
  <si>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</si>
  <si>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</si>
  <si>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</si>
  <si>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</si>
  <si>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</si>
  <si>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</si>
  <si>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</si>
  <si>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</si>
  <si>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</si>
  <si>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</si>
  <si>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</si>
  <si>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</si>
  <si>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</si>
  <si>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</si>
  <si>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</si>
  <si>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</si>
  <si>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</si>
  <si>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</si>
  <si>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</si>
  <si>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</si>
  <si>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</si>
  <si>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</si>
  <si>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</si>
  <si>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</si>
  <si>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</si>
  <si>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</si>
  <si>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</si>
  <si>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</si>
  <si>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</si>
  <si>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</si>
  <si>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317.</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</si>
  <si>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</si>
  <si>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</si>
  <si>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</si>
  <si>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</si>
  <si>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</si>
  <si>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</si>
  <si>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</si>
  <si>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</si>
  <si>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</si>
  <si>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</si>
  <si>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</si>
  <si>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</si>
  <si>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</si>
  <si>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</si>
  <si>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</si>
  <si>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</si>
  <si>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</si>
  <si>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</si>
  <si>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</si>
  <si>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</si>
  <si>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</si>
  <si>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</si>
  <si>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</si>
  <si>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</si>
  <si>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</si>
  <si>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</si>
  <si>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</si>
  <si>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</si>
  <si>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</si>
  <si>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</si>
  <si>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</si>
  <si>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</si>
  <si>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</si>
  <si>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</si>
  <si>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</si>
  <si>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</si>
  <si>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</si>
  <si>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</si>
  <si>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</si>
  <si>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</si>
  <si>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</si>
  <si>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</si>
  <si>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</si>
  <si>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</si>
  <si>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</si>
  <si>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</si>
  <si>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</si>
  <si>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</si>
  <si>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</si>
  <si>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</si>
  <si>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</si>
  <si>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</si>
  <si>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</si>
  <si>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</si>
  <si>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</si>
  <si>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</si>
  <si>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</si>
  <si>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</si>
  <si>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</si>
  <si>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</si>
  <si>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</si>
  <si>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</si>
  <si>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</si>
  <si>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</si>
  <si>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</si>
  <si>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</si>
  <si>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</si>
  <si>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</si>
  <si>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</si>
  <si>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</si>
  <si>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</si>
  <si>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</si>
  <si>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</si>
  <si>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</si>
  <si>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</si>
  <si>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</si>
  <si>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</si>
  <si>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</si>
  <si>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</si>
  <si>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</si>
  <si>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</si>
  <si>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</si>
  <si>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</si>
  <si>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</si>
  <si>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</si>
  <si>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</si>
  <si>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</si>
  <si>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</si>
  <si>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</si>
  <si>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</si>
  <si>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</si>
  <si>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</si>
  <si>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</si>
  <si>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</si>
  <si>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</si>
  <si>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</si>
  <si>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</si>
  <si>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</si>
  <si>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</si>
  <si>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</si>
  <si>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</si>
  <si>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</si>
  <si>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</si>
  <si>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</si>
  <si>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</si>
  <si>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</si>
  <si>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</si>
  <si>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</si>
  <si>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</si>
  <si>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</si>
  <si>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</si>
  <si>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</si>
  <si>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</si>
  <si>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</si>
  <si>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</si>
  <si>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</si>
  <si>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</si>
  <si>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</si>
  <si>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</si>
  <si>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</si>
  <si>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</si>
  <si>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</si>
  <si>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</si>
  <si>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</si>
  <si>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</si>
  <si>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</si>
  <si>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</si>
  <si>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</si>
  <si>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</si>
  <si>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</si>
  <si>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</si>
  <si>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</si>
  <si>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</si>
  <si>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</si>
  <si>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</si>
  <si>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</si>
  <si>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</si>
  <si>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</si>
  <si>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</si>
  <si>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</si>
  <si>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</si>
  <si>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</si>
  <si>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</si>
  <si>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</si>
  <si>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</si>
  <si>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</si>
  <si>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</si>
  <si>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</si>
  <si>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</si>
  <si>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</si>
  <si>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</si>
  <si>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</si>
  <si>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</si>
  <si>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</si>
  <si>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</si>
  <si>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</si>
  <si>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</si>
  <si>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</si>
  <si>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</si>
  <si>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</si>
  <si>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</si>
  <si>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</si>
  <si>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</si>
  <si>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</si>
  <si>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</si>
  <si>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</si>
  <si>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</si>
  <si>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</si>
  <si>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</si>
  <si>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</si>
  <si>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</si>
  <si>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</si>
  <si>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</si>
  <si>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</si>
  <si>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</si>
  <si>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</si>
  <si>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</si>
  <si>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</si>
  <si>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KIK-es intézmények pedagógus nap</t>
  </si>
  <si>
    <t>Település-fejlesztés, település-rendezés</t>
  </si>
  <si>
    <t>Egészségügyi alapellátás</t>
  </si>
  <si>
    <t>Óvodai ellátás</t>
  </si>
  <si>
    <t>Szociális, gyermekjóléti szolgáltatások és ellátások</t>
  </si>
  <si>
    <t>Lakás- és helyiség-gazdálkodás</t>
  </si>
  <si>
    <t>Hajléktalan személyek ellátása és rehabilitációja</t>
  </si>
  <si>
    <t>Helyi adóval, gazdaság-szervezéssel és a turizmussal kapcsolatos feladatok</t>
  </si>
  <si>
    <t>Sport, ifjúsági ügyek</t>
  </si>
  <si>
    <t>Helyi közösségi közlekedés biztosítása</t>
  </si>
  <si>
    <t>Kötelező feladatok összesen</t>
  </si>
  <si>
    <t>KÖTELEZŐ FELADATOK</t>
  </si>
  <si>
    <t>ÖNKÉNT VÁLLALT FELADATOK</t>
  </si>
  <si>
    <t>Önkormányzati tulajdonú gazdasági társaságok fenntartása és működtetése</t>
  </si>
  <si>
    <t>Felsőoktatási ösztöndíjak, iskolatej, HPV oltás biztosítása, úszásoktatáshoz való hozzájárulás</t>
  </si>
  <si>
    <t>Alapító tagként a TDM szervezet működtetéséhez való hozzájárulás</t>
  </si>
  <si>
    <t>Fiatal házasok első lakáshoz jutásának támogatása, adósságkezelési szolgáltatás</t>
  </si>
  <si>
    <t>Önként vállalt feladatok összesen</t>
  </si>
  <si>
    <t>Városi elismerő és kitüntető címek adományozása, városi rendezvények megtartása</t>
  </si>
  <si>
    <t>Ápolási díj</t>
  </si>
  <si>
    <t>Újszülöttek családjának támogatása</t>
  </si>
  <si>
    <t>Közgyógyellátás</t>
  </si>
  <si>
    <t>Helyi védelem alá helyezett épületek felújításához történő hozzájárulás</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</si>
  <si>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</si>
  <si>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</si>
  <si>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</si>
  <si>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</si>
  <si>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</si>
  <si>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</si>
  <si>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</si>
  <si>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</si>
  <si>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Fejlesztési bevételből</t>
  </si>
  <si>
    <t>Iparűzési adó</t>
  </si>
  <si>
    <t>AY</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</si>
  <si>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</si>
  <si>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</si>
  <si>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</si>
  <si>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</si>
  <si>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</si>
  <si>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</si>
  <si>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</si>
  <si>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</si>
  <si>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</si>
  <si>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</si>
  <si>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</si>
  <si>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</si>
  <si>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</si>
  <si>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</si>
  <si>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</si>
  <si>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</si>
  <si>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</si>
  <si>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</si>
  <si>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</si>
  <si>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</si>
  <si>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</si>
  <si>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</si>
  <si>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</si>
  <si>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</si>
  <si>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</si>
  <si>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</si>
  <si>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</si>
  <si>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</si>
  <si>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MÓR VÁROSI ÖNKORMÁNYZAT KONSZOLIDÁLT KÖLTSÉGVETÉSI BEVÉTELEK ÖSSZESEN (I.+II.)</t>
  </si>
  <si>
    <t>MÓR VÁROSI ÖNKORMÁNYZAT KONSZOLIDÁLT BEVÉTELEK ÖSSZESEN (I.+II.+III.+IV.)</t>
  </si>
  <si>
    <t>Központi, irányító szervi támogatás folyósítása</t>
  </si>
  <si>
    <t>MÓR VÁROSI ÖNKORMÁNYZAT KONSZOLIDÁLT KÖLTSÉGVETÉSI KIADÁSOK ÖSSZESEN (I.+II.)</t>
  </si>
  <si>
    <t>MÓR VÁROSI ÖNKORMÁNYZAT KONSZOLIDÁLT KIADÁSOK ÖSSZESEN (I.+II.+III.+IV.)</t>
  </si>
  <si>
    <t>Ellátottak pénzbeli juttatásai</t>
  </si>
  <si>
    <t>Tartalomjegyzék</t>
  </si>
  <si>
    <t>Kulturális szolgáltatás (nyilvános könyvtári ellátás biztosítása, kulturális örökség helyi védelme, helyi közművelő-dés támogatása)</t>
  </si>
  <si>
    <t>Honvédelem, polgári védelem, katasztrófa-védelem, helyi közfoglalkoz-tatás</t>
  </si>
  <si>
    <t>Egyházak, sport- és civil szervezetek támogatása, közalapítvá-nyok fenntartása, az egészségügyi alapellátáshoz biztosított külön támogatás</t>
  </si>
  <si>
    <t xml:space="preserve">elkülönítetten az európai uniós forrásból finanszírozott támogatással megvalósuló programok, projektek kiadásait, </t>
  </si>
  <si>
    <t>valamint az önkormányzat ilyen projekthez történő hozzájárulását</t>
  </si>
  <si>
    <t>013320 Köztemető- fenntartás és- működtetés</t>
  </si>
  <si>
    <t>013350 Az önkormányzati vagyonnal való gazdálodással kapcsolatos feladatok</t>
  </si>
  <si>
    <t>013360 Más szerv részére végzett pénzügyi- gazdálkodási, üzemeltetési, egyéb szolgáltatások</t>
  </si>
  <si>
    <t>016030 Állampolgársági ügyek</t>
  </si>
  <si>
    <t>016080 Kiemelt állami és önkormányzati rendezvények</t>
  </si>
  <si>
    <t>018020 Központi költségvetési befizetések</t>
  </si>
  <si>
    <t>018030 Támogatási célú finanszírozási műveletek</t>
  </si>
  <si>
    <t>022010 Polgári honvédelem ágazati feladatai, a lakosság felkészítése</t>
  </si>
  <si>
    <t>042180 Állat- egészségügy</t>
  </si>
  <si>
    <t>045110 Közúti közlekedés igazgatása és támogatása</t>
  </si>
  <si>
    <t>045120 Út, autópálya építése</t>
  </si>
  <si>
    <t>045160 Közutak, hidak, alagutak üzemeltetése, fenntartása</t>
  </si>
  <si>
    <t>045170 Parkoló, garázs üzemeltetése, fenntartása</t>
  </si>
  <si>
    <t>047120 Piac üzemeltetése</t>
  </si>
  <si>
    <t>051030 Nem veszélyes (települési) hulladék vegyes (ömlesztett) begyüjtése, szállítása, átrakása</t>
  </si>
  <si>
    <t>052020 Szennyvíz gyűjtése, tisztítása, elhelyezése</t>
  </si>
  <si>
    <t>061030 Lakáshoz jutást segítő támogatások</t>
  </si>
  <si>
    <t>062010 Településfejlesztés igazgatása</t>
  </si>
  <si>
    <t>063080 Vízellátással kapcsolatos közmű építése, fenntartása, üzemeltetése</t>
  </si>
  <si>
    <t>064010 Közvilágítás</t>
  </si>
  <si>
    <t>066010 Zöldterület kezelés</t>
  </si>
  <si>
    <t>072190 Általános orvosi szolgáltatások finanszírozása és támogatása</t>
  </si>
  <si>
    <t>072390 Fogorvosi ellátás finanszírozása és támogatása</t>
  </si>
  <si>
    <t>074031 Család és nővédelmi egészségügyi gondozás</t>
  </si>
  <si>
    <t>074032 Ifjúság- egészségügyi gondozás</t>
  </si>
  <si>
    <t>081041 Versenysport- és utánpótlás- nevelési tevékenység és támogatása</t>
  </si>
  <si>
    <t>081045 Szabadidősport- (rekreációs sport-) tevékenység és támogatása</t>
  </si>
  <si>
    <t>083050 Televízió- műsor szolgáltatása és támogatása</t>
  </si>
  <si>
    <t>084031 Civil szervezetek működési támogatása</t>
  </si>
  <si>
    <t>086030 Nemzetközi kulturális együttműködés</t>
  </si>
  <si>
    <t>094260 Hallgatói és okatói ösztöndíjak, egyéb juttatások</t>
  </si>
  <si>
    <t>101150 Betegséggel kapcsolatos pénzbeli ellátások, támogatások</t>
  </si>
  <si>
    <t>104060 A gyermekek, fiatalok és családok életminőségét javító programok</t>
  </si>
  <si>
    <t>106010 Lakóingatlan szociális célú bérbeadása, üzemeltetése</t>
  </si>
  <si>
    <t>107060 Egyéb szociális pénzbeli és természetbeni ellátások, támogatások</t>
  </si>
  <si>
    <t>900070 Fejezeti és általános tartalékok elszámolása</t>
  </si>
  <si>
    <t>2014. évi előirányzat</t>
  </si>
  <si>
    <t>Mór Városi Önkormányzat 2014. évi konszolidált felhalmozási költségvetése és annak finanszírozása</t>
  </si>
  <si>
    <t>Mór Városi Önkormányzat 2014. évi konszolidált költségvetése előirányzat-csoportok, kiemelt előirányzatok szerinti bontásban</t>
  </si>
  <si>
    <t>Mór Városi Önkormányzat 2014. évi költségvetése előirányzat-csoportok, kiemelt előirányzatok szerinti bontásban</t>
  </si>
  <si>
    <t>Móri Polgármesteri Hivatal 2014. évi költségvetése előirányzat-csoportok, kiemelt előirányzatok szerinti bontásban</t>
  </si>
  <si>
    <t>Mór Városi Önkormányzat irányítása alá tartozó költségvetési szervek 2014. évi költségvetése előirányzat-csoportok, kiemelt előirányzatok szerinti bontásban</t>
  </si>
  <si>
    <t>Mór Városi Önkormányzat 2014 évi konszolidált költségvetése kötelező feladatok, önként vállalt feladatok, állami (államigazgatási) feladatok bontásban</t>
  </si>
  <si>
    <t>MÓR VÁROSI ÖNKORMÁNYZAT 2014 ÉVI KONSZOLIDÁLT KÖLTSÉGVETÉSE ELŐIRÁNYZAT-CSOPORTOK, KIEMELT ELŐIRÁNYZATOK SZERINTI BONTÁSBAN</t>
  </si>
  <si>
    <t>MÓRI POLGÁRMESTERI HIVATAL 2014 ÉVI KÖLTSÉGVETÉSE ELŐIRÁNYZAT-CSOPORTOK, KIEMELT ELŐIRÁNYZATOK SZERINTI BONTÁSBAN</t>
  </si>
  <si>
    <t>MÓR VÁROSI ÖNKORMÁNYZAT 2014 ÉVI KONSZOLIDÁLT KÖLTSÉGVETÉSI EGYENLEGE ÉS ANNAK FINANSZÍROZÁSA</t>
  </si>
  <si>
    <t>MÓR VÁROSI ÖNKORMÁNYZAT 2014 ÉVI KONSZOLIDÁLT KÖLTSÉGVETÉSE KÖTELEZŐ FELADATOK, ÖNKÉNT VÁLLALT FELADATOK, ÁLLAMI (ÁLLAMIGAZGATÁSI) FELADATOK BONTÁSBAN</t>
  </si>
  <si>
    <t>013350 Az önkormányzati vagyonnal való gazdálkodással kapcsolatos feladatok</t>
  </si>
  <si>
    <t>105010 Munkanélküli aktívkorúak ellátása</t>
  </si>
  <si>
    <t>Önkormányzatok működési támogatásai</t>
  </si>
  <si>
    <t>I.1.07.</t>
  </si>
  <si>
    <t>I.1.12.</t>
  </si>
  <si>
    <t>Egyéb működési célú támogatások bevételei államháztartáson belülről</t>
  </si>
  <si>
    <t xml:space="preserve">II.1.14. </t>
  </si>
  <si>
    <t>Felhalmozási célú önkormányzati támogatások</t>
  </si>
  <si>
    <t>II.1.18.</t>
  </si>
  <si>
    <t>Egyéb felhalmozási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</si>
  <si>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</si>
  <si>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</si>
  <si>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</si>
  <si>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</si>
  <si>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</si>
  <si>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</si>
  <si>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</si>
  <si>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</si>
  <si>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</si>
  <si>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</si>
  <si>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</si>
  <si>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</si>
  <si>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I.3.35.</t>
  </si>
  <si>
    <t>I.3.36.</t>
  </si>
  <si>
    <t>I.3.37.</t>
  </si>
  <si>
    <t>I.3.38.</t>
  </si>
  <si>
    <t>I.3.39.</t>
  </si>
  <si>
    <t>I.3.40.</t>
  </si>
  <si>
    <t>I.3.41.</t>
  </si>
  <si>
    <t>I.3.43.</t>
  </si>
  <si>
    <t>Készletértékesítés ellenértéke</t>
  </si>
  <si>
    <t>Szolgáltatások ellenértéke</t>
  </si>
  <si>
    <t>Közvetített szolgáltatások ellenértéke</t>
  </si>
  <si>
    <t>Tulajdonosi bevételek</t>
  </si>
  <si>
    <t>Ellátási díjak</t>
  </si>
  <si>
    <t>Kiszámlázott általános forgalmi adó</t>
  </si>
  <si>
    <t>Általános forgalmi adó visszatérítése</t>
  </si>
  <si>
    <t>Kamatbevételek</t>
  </si>
  <si>
    <t>Egyéb működési bevételek</t>
  </si>
  <si>
    <t>Ingatlanok értékesítése</t>
  </si>
  <si>
    <t>Egyéb tárgyi eszközök értékesítése</t>
  </si>
  <si>
    <t>Működési célú visszatérítendő támogatások, kölcsönök visszatérülése államháztartáson kívülről</t>
  </si>
  <si>
    <t>Egyéb működési célú átvett pénzeszközök</t>
  </si>
  <si>
    <t>I.4.52.</t>
  </si>
  <si>
    <t>I.4.53.</t>
  </si>
  <si>
    <t xml:space="preserve">II.2.46. </t>
  </si>
  <si>
    <t>II.2.47.</t>
  </si>
  <si>
    <t>II.3.57.</t>
  </si>
  <si>
    <t>III.1.02.</t>
  </si>
  <si>
    <t>Előző év költségvetési maradványának működési célú igénybevétele</t>
  </si>
  <si>
    <t>Előző év költségvetési maradványának felhalmozási célú igénybevétele</t>
  </si>
  <si>
    <t>I.4.62.</t>
  </si>
  <si>
    <t>I.4.65.</t>
  </si>
  <si>
    <t>III.2.10/1.</t>
  </si>
  <si>
    <t>III.2.10/2.</t>
  </si>
  <si>
    <t>I.4.66/1.</t>
  </si>
  <si>
    <t>I.4.66/2.</t>
  </si>
  <si>
    <t>Működési célú visszatérítendő támogatások, kölcsönök nyújtása államháztartáson kívülre</t>
  </si>
  <si>
    <t>Egyéb működési célú támogatások államháztartáson belülre</t>
  </si>
  <si>
    <t>Működési célú céltartalékok</t>
  </si>
  <si>
    <t>I.4.60.</t>
  </si>
  <si>
    <t>Egyéb működési célú támogatások államháztartáson kívülre</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</si>
  <si>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</si>
  <si>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</si>
  <si>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</si>
  <si>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</si>
  <si>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</si>
  <si>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</si>
  <si>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</si>
  <si>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</si>
  <si>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</si>
  <si>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</si>
  <si>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</si>
  <si>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</si>
  <si>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</si>
  <si>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</si>
  <si>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</si>
  <si>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</si>
  <si>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</si>
  <si>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</si>
  <si>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</si>
  <si>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</si>
  <si>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</si>
  <si>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</si>
  <si>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</si>
  <si>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</si>
  <si>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</si>
  <si>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</si>
  <si>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</si>
  <si>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</si>
  <si>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</si>
  <si>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</si>
  <si>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</si>
  <si>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</si>
  <si>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</si>
  <si>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</si>
  <si>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</si>
  <si>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</si>
  <si>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</si>
  <si>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</si>
  <si>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</si>
  <si>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</si>
  <si>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</si>
  <si>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</si>
  <si>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</si>
  <si>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</si>
  <si>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</si>
  <si>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</si>
  <si>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</si>
  <si>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</si>
  <si>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</si>
  <si>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</si>
  <si>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</si>
  <si>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</si>
  <si>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</si>
  <si>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</si>
  <si>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</si>
  <si>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</si>
  <si>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</si>
  <si>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</si>
  <si>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</si>
  <si>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</si>
  <si>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</si>
  <si>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</si>
  <si>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</si>
  <si>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</si>
  <si>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</si>
  <si>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</si>
  <si>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</si>
  <si>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</si>
  <si>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</si>
  <si>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</si>
  <si>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</si>
  <si>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</si>
  <si>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</si>
  <si>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</si>
  <si>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</si>
  <si>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</si>
  <si>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</si>
  <si>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</si>
  <si>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</si>
  <si>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</si>
  <si>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</si>
  <si>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</si>
  <si>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</si>
  <si>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</si>
  <si>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</si>
  <si>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</si>
  <si>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</si>
  <si>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</si>
  <si>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</si>
  <si>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</si>
  <si>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</si>
  <si>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</si>
  <si>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</si>
  <si>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</si>
  <si>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</si>
  <si>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</si>
  <si>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</si>
  <si>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</si>
  <si>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</si>
  <si>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</si>
  <si>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</si>
  <si>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</si>
  <si>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</si>
  <si>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</si>
  <si>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</si>
  <si>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</si>
  <si>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</si>
  <si>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</si>
  <si>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</si>
  <si>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</si>
  <si>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</si>
  <si>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</si>
  <si>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</si>
  <si>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</si>
  <si>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</si>
  <si>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</si>
  <si>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</si>
  <si>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</si>
  <si>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</si>
  <si>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</si>
  <si>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</si>
  <si>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</si>
  <si>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</si>
  <si>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011130 Önkormányza-tok és önkormányzati hivatalok jogalkotó és általános igazgatási tevékenysége</t>
  </si>
  <si>
    <t>018010 Önkormányza-tok elszámolásai a központi költségvetéssel</t>
  </si>
  <si>
    <t>041232 Start- munka program- Téli közfoglalkozta-tás</t>
  </si>
  <si>
    <t>041233 Hosszabb időtartamú közfoglalkozta-tás</t>
  </si>
  <si>
    <t>062010 Településfej-lesztés igazgatása</t>
  </si>
  <si>
    <t>062020 Településfej-lesztései projektek és támogatásuk</t>
  </si>
  <si>
    <t>081030 Sportlétesítmé-nyek, edzőtáborok működtetése és fejlesztése</t>
  </si>
  <si>
    <t>066020 Város-, községgazdál-kodási egyéb szolgáltatások</t>
  </si>
  <si>
    <t>081061 Szabadidős park, fürdő és trandszolgálta-tás</t>
  </si>
  <si>
    <t>084032 Civil szervezetek programtámoga-tása</t>
  </si>
  <si>
    <t>084040 Egyházak közösségi és hitéleti tevékenységé-nek támogatása</t>
  </si>
  <si>
    <t>104051 Gyermekvédel-mi pénzbeli és természetbeni ellátások</t>
  </si>
  <si>
    <t>104052 Családtámoga-tások</t>
  </si>
  <si>
    <t>BG</t>
  </si>
  <si>
    <t>BH</t>
  </si>
  <si>
    <t>BI</t>
  </si>
  <si>
    <t>BJ</t>
  </si>
  <si>
    <t>BK</t>
  </si>
  <si>
    <t>BL</t>
  </si>
  <si>
    <t>BM</t>
  </si>
  <si>
    <t>BN</t>
  </si>
  <si>
    <t>BO</t>
  </si>
  <si>
    <t>BP</t>
  </si>
  <si>
    <t>BQ</t>
  </si>
  <si>
    <t>BR</t>
  </si>
  <si>
    <t>BS</t>
  </si>
  <si>
    <t>BT</t>
  </si>
  <si>
    <t>BU</t>
  </si>
  <si>
    <t>BV</t>
  </si>
  <si>
    <t>BW</t>
  </si>
  <si>
    <t>BX</t>
  </si>
  <si>
    <t>BZ</t>
  </si>
  <si>
    <t>CA</t>
  </si>
  <si>
    <t>POLGÁRMESTERI HIVATAL ÖSSZESEN</t>
  </si>
  <si>
    <t>Mór Városi Önkormányzat Ellátó Központja</t>
  </si>
  <si>
    <t>Munkanélküli aktív korúak ellátása</t>
  </si>
  <si>
    <t>Rendszeres gyermekvé-delmi támogatás</t>
  </si>
  <si>
    <t>Intézményi szakmai anyagok, Ellátó Központ váratlan kiadásokra</t>
  </si>
  <si>
    <t>Munkáltatói keresetkiegészítés járulékkal (3.000 Ft/alkalmazott)</t>
  </si>
  <si>
    <t>Polgármesteri felhasználású keret</t>
  </si>
  <si>
    <t>Turisztikai attrakciók és szolgáltatások fejlesztése (KDOP-2.1.1.)</t>
  </si>
  <si>
    <t>Elektromos hálózat kiépítése</t>
  </si>
  <si>
    <t>Kálvária temető ravatalozó építése</t>
  </si>
  <si>
    <t>PET palack zsugorító pályázati önerő</t>
  </si>
  <si>
    <t>Panelprogram forrás elkülönítés</t>
  </si>
  <si>
    <t>Velegi úti iparterület közvilágítás bővítés I. ütem</t>
  </si>
  <si>
    <t>Baboskút terület rendezés</t>
  </si>
  <si>
    <t>013360 Más szerv részére végzett pénzügyi-gazdálkodási, üzemeltetési, egyéb szolgáltatások</t>
  </si>
  <si>
    <t>106020 Lakásfenntartással, lakhatással összefüggő ellátások</t>
  </si>
  <si>
    <t>044310 Építésügy igazgatása</t>
  </si>
  <si>
    <t>016010 Országgyűlési, önkormányzati és európai parlamenti képviselőválasztásokhoz kapcsolódó tevékenységek</t>
  </si>
  <si>
    <t>Logopédusi, gyógy-testnevelési és intézmény-pszichológusi ellátás</t>
  </si>
  <si>
    <t>Helyi környezet- és természet-védelem, vízgazdálkodás, vízkárelhárítás</t>
  </si>
  <si>
    <t>Környezet-egészségügy (közisztaság, környezet tisztaság biztosítása, rovar- és rágcsálóirtás), hulladékgazdálkodás</t>
  </si>
  <si>
    <t>AFA</t>
  </si>
  <si>
    <t>Önkormányzatok és önkormányzati hivatalok jogalkotó és általános igazgatási tevékenysége (011130)</t>
  </si>
  <si>
    <t>Bútor beszerzés</t>
  </si>
  <si>
    <t>Borítékológép beszerzés</t>
  </si>
  <si>
    <t>VIR rendszer beszerzése</t>
  </si>
  <si>
    <t>Tárgyi eszköz nyilvántartó modul beszerzése</t>
  </si>
  <si>
    <t>Nyomtató beszerzés</t>
  </si>
  <si>
    <t>CORIOLIS program</t>
  </si>
  <si>
    <t>Építésügy igazgatása (044310)</t>
  </si>
  <si>
    <t>Nagy teljesítményű nyomtató beszerzés</t>
  </si>
  <si>
    <t>Színes nyomtató beszerzése</t>
  </si>
  <si>
    <t>Köztemető-fenntartás és -működtetés (013320)</t>
  </si>
  <si>
    <t>Kálvária temető szoborcsoport felújítása, Kálvária domb és keresztek felújítása</t>
  </si>
  <si>
    <t>Az önkormányzati vagyonnal való gazdálkodással kapcsolatos feladatok (013350)</t>
  </si>
  <si>
    <t>Kossuth L. u. 10. sz. alatti ingatlan vásárlás (472/A/3. hrsz.)</t>
  </si>
  <si>
    <t>Bérlakás felújítás(Mórhő Kft.)</t>
  </si>
  <si>
    <t>Intézményi épület felújítások tervezési költségei</t>
  </si>
  <si>
    <t>KEOP 5.5.0/B Energetikai hatékonyság fokozása</t>
  </si>
  <si>
    <t>Hosszabb időtartamú közfoglalkoztatás (041233)</t>
  </si>
  <si>
    <t>Zrínyi u. 36. sz. alatti ingatlannál kazán- és aprítéktároló építése</t>
  </si>
  <si>
    <t>Faaprító gép beszerzés</t>
  </si>
  <si>
    <t>Út, autópálya építés (045120)</t>
  </si>
  <si>
    <t>Autóbusz pályaudvar rekonstrukció</t>
  </si>
  <si>
    <t>Forgalombiztonsági beavatkozások</t>
  </si>
  <si>
    <t>Borút (Mór-Csókakő kerékpárút) előkészítési költség, kisajátítása</t>
  </si>
  <si>
    <t>Mór út és járdaépítés, felújítása I. ütem</t>
  </si>
  <si>
    <t>Külterületi utak felújítása</t>
  </si>
  <si>
    <t>Belterületi nem aszfaltos utak aszfaltozása</t>
  </si>
  <si>
    <t>Butik sor parkoló, üzletekhez árufeltöltő út kialakítása</t>
  </si>
  <si>
    <t>Szennyvíz gyűjtése, tisztítása, elhelyezése (052020)</t>
  </si>
  <si>
    <t>Mór-Szennyvíztelep kihordó csiga csere</t>
  </si>
  <si>
    <t>Mór-Szennyvíztelep hármas műtárgy levegőztető rendszer rekonstrukció tányérok cseréjével</t>
  </si>
  <si>
    <t>Lakáshoz jutást segítő támogatások (061030)</t>
  </si>
  <si>
    <t>Első lakáshoz jutók támogatása</t>
  </si>
  <si>
    <t>Településfejlesztés igazgatása (062010)</t>
  </si>
  <si>
    <t>Településrendezési Terv felülvizsgálata</t>
  </si>
  <si>
    <t>Településfejlesztési projektek és támogatásuk (062020)</t>
  </si>
  <si>
    <t>Értékmegőrző és funkcióbővítő város rehabilitáció</t>
  </si>
  <si>
    <t>Bajcsy Zs. u. 708/11. hrsz. közterület minősített ivóvíz gerincvezeték kiépítése</t>
  </si>
  <si>
    <t>Víztermelés, -kezelés, -ellátás (063080)</t>
  </si>
  <si>
    <t>Közvilágítás (064010)</t>
  </si>
  <si>
    <t>Zöldterület-kezelés (066010)</t>
  </si>
  <si>
    <t>Ény-i Iparterületen földrészlet vásárlás</t>
  </si>
  <si>
    <t>Szent István mellszobrának készítése és környezet kialakítása</t>
  </si>
  <si>
    <t>Mária szobor pályázati önerő</t>
  </si>
  <si>
    <t>Panelfelújítás - önkormányzati támogatás</t>
  </si>
  <si>
    <t>Hagyományos technológiával épült ingatlanok felújításának támogatása</t>
  </si>
  <si>
    <t>Műfüves pálya létesítés</t>
  </si>
  <si>
    <t>Futópálya, távolugró gödör, lőtér, kapu, szervízút kialakítása</t>
  </si>
  <si>
    <t>Város-, községgazdálkodási egyéb szolgáltatások (066020)</t>
  </si>
  <si>
    <t>Televízió-műsor szolgáltatás és támogatása (083050)</t>
  </si>
  <si>
    <t>Mór Városi Televízió Nonprofit Kft. Technikai eszközök fejlesztése</t>
  </si>
  <si>
    <t>Mórhő Kft. Fejlesztési támogatás</t>
  </si>
  <si>
    <t>Panelprogram forrás elkülönítés (új igények)</t>
  </si>
  <si>
    <t>Település-üzemeltetés (köztemetők, közvilágítás, közutak, közparkok, parkolók és egyéb közterületek kialakítása és fenntartása)</t>
  </si>
  <si>
    <t>Lakásfenntar-tással, lakhatással összefüggő ellátások, önkormányzati segélyezés</t>
  </si>
  <si>
    <t>MÓRI POLGÁRMESTERI HIVATAL BEVÉTELEK ÖSSZESEN (I.+II.+III.+IV.)</t>
  </si>
  <si>
    <t>MÓRI POLGÁRMESTERI HIVATAL KÖLTSÉGVETÉSI BEVÉTELEK ÖSSZESEN (I.+II.)</t>
  </si>
  <si>
    <t>MÓRI POLGÁRMESTERI HIVATAL KÖLTSÉGVETÉSI KIADÁSOK ÖSSZESEN (I.+II.)</t>
  </si>
  <si>
    <t>MÓRI POLGÁRMESTERI HIVATAL KIADÁSOK ÖSSZESEN (I.+II.+III.+IV.)</t>
  </si>
  <si>
    <t>MÓR VÁROSI ÖNKORMÁNYZAT FENNTARTÁSÁBAN LÉVŐ INTÉZMÉNYEK 2014 ÉVI KÖLTSÉGVETÉSE ELŐIRÁNYZAT-CSOPORTOK, KIEMELT ELŐIRÁNYZATOK SZERINTI BONTÁSBAN</t>
  </si>
  <si>
    <t>INTÉZMÉNYI KÖLTSÉGVETÉSI BEVÉTELEK ÖSSZESEN (I.+II.)</t>
  </si>
  <si>
    <t>INTÉZMÉNYI BEVÉTELEK ÖSSZESEN (I.+II.+III.+IV.)</t>
  </si>
  <si>
    <t>INTÉZMÉNYI KÖLTSÉGVETÉSI KIADÁSOK ÖSSZESEN (I.+II.)</t>
  </si>
  <si>
    <t>INTÉZMÉNYI KIADÁSOK ÖSSZESEN (I.+II.+III.+IV.)</t>
  </si>
  <si>
    <t xml:space="preserve">kiemelt előirányzatok, azon belül kormányzati funkció, feladat bontásban, </t>
  </si>
  <si>
    <t>2014. évi</t>
  </si>
  <si>
    <t>Mór-Szennyvíztelep belső átemelő felújítás</t>
  </si>
  <si>
    <t>Mór-Szennyvíztelep prés tartalék vegyszerszivattyú beszerzése</t>
  </si>
  <si>
    <t>Mór-Szennyvízhálózat iszapfeladó szivattyú beszerzése</t>
  </si>
  <si>
    <t>Mór Városi Önkormányzat 2014. évi konszolidált felhalmozási költségvetése és annak finanszírozása kiemelt előirányzatok, azon belül kormányzati funkciók, feladat bontásban, elkülönítetten az európai uniós forrásból finanszírozott támogatással megvalósuló programok, projektek kiadásait, valamint az önkormányzat ilyen projekthez történő hozzájárulását</t>
  </si>
  <si>
    <t>MÓR VÁROSI ÖNKORMÁNYZAT 2014 ÉVI KÖLTSÉGVETÉSE ELŐIRÁNYZAT-CSOPORTOK, KIEMELT ELŐIRÁNYZATOK SZERINTI BONTÁSBAN</t>
  </si>
  <si>
    <t>MÓR VÁROSI ÖNKORMÁNYZAT BEVÉTELEK ÖSSZESEN (I.+II.+III.+IV.)</t>
  </si>
  <si>
    <t>MÓR VÁROSI ÖNKORMÁNYZAT KÖLTSÉGVETÉSI BEVÉTELEK ÖSSZESEN (I.+II.)</t>
  </si>
  <si>
    <t>MÓR VÁROSI ÖNKORMÁNYZAT KÖLTSÉGVETÉSI KIADÁSOK ÖSSZESEN (I.+II.)</t>
  </si>
  <si>
    <t>MÓR VÁROSI ÖNKORMÁNYZAT KIADÁSOK ÖSSZESEN (I.+II.+III.+IV.)</t>
  </si>
  <si>
    <t>Kis értékű eszközbeszerzés</t>
  </si>
  <si>
    <t>Gázbojler beszerzés</t>
  </si>
  <si>
    <t>Móri Polgárnesteri Hivatal kis értékű eszközbeszerzés</t>
  </si>
  <si>
    <t>Start munkaprogram - Téli közfoglalkoztatás (041232)</t>
  </si>
  <si>
    <t>Hangosító berendezés beszerzése</t>
  </si>
  <si>
    <t>Kötelezettséggel nem terhelt fejlesztési céltartalék</t>
  </si>
  <si>
    <t>900060 Forgatási és befektetési célú finanszírozási műveletek</t>
  </si>
  <si>
    <t>ÖNKORMÁNY-ZAT ÖSSZESEN</t>
  </si>
  <si>
    <t>Móri Református Egyház Lelkészi Hivatal Szolgáló Szeretet Háza udvara részbeni térburkolásának támogatása</t>
  </si>
  <si>
    <t>Sportfejlesztési program támogatása TAO önerőhöz</t>
  </si>
  <si>
    <t>Szerver beszerzés</t>
  </si>
  <si>
    <t>Sportlétesítmények, edzőtáborok működtetése és fejlesztése (081030)</t>
  </si>
  <si>
    <t>A móri Lamberg-kastély turisztikai attrakció fejlesztése (KDOP-2.1.1/B-12-2012-0029)</t>
  </si>
  <si>
    <t>Egyházak közösségi és hitéleti tevékenységének támogatása (084040)</t>
  </si>
  <si>
    <t>Babos kút területrendezés</t>
  </si>
  <si>
    <t>BY</t>
  </si>
  <si>
    <t>Önjáró gyepszellőztető beszerzés</t>
  </si>
  <si>
    <t>Eke beszerzés</t>
  </si>
  <si>
    <t>Tárcsa beszerzés</t>
  </si>
  <si>
    <t>Szárzúzó beszerzés</t>
  </si>
  <si>
    <t>Talajmaró beszerzés</t>
  </si>
  <si>
    <t>Henger beszerzés</t>
  </si>
  <si>
    <t>Tolólap beszerzés</t>
  </si>
  <si>
    <t>Vonóhorog beszerzés</t>
  </si>
  <si>
    <t>Traktor és utánfutó beszerzés</t>
  </si>
  <si>
    <t>Mór Városi Önkormányzat</t>
  </si>
  <si>
    <t>Móri Polgármesteri Hivatal</t>
  </si>
  <si>
    <t>Bevételek</t>
  </si>
  <si>
    <t>Kiadások</t>
  </si>
  <si>
    <t>Önkormányzatok elszámolásai a központi költségvetéssel (018010)</t>
  </si>
  <si>
    <t>1.1.</t>
  </si>
  <si>
    <t>Önkormányzatok működési támogatása</t>
  </si>
  <si>
    <t>=</t>
  </si>
  <si>
    <t>Bérkompenzáció központi forrásból</t>
  </si>
  <si>
    <t>-</t>
  </si>
  <si>
    <t>Móri Többcélú Kistérségi Társulás</t>
  </si>
  <si>
    <t>Mór Mikrokörzeti Szociális Intézményi Társulás</t>
  </si>
  <si>
    <t>Család és nővédelmi egészségügyi gondozás</t>
  </si>
  <si>
    <t>Ágazati pótlék központi forrásból</t>
  </si>
  <si>
    <t>Móri Többcélú Kistérségi Társulás Hajléktalanok Átmeneti Szállása</t>
  </si>
  <si>
    <t>Napközi otthonos Óvoda Bakonycsernye</t>
  </si>
  <si>
    <t>Napközi otthonos Óvoda Nagyveleg</t>
  </si>
  <si>
    <t>Szociális Alapszolgáltatási Központ</t>
  </si>
  <si>
    <t>Köznevelési és szociális feladatátadással kapcsolatban</t>
  </si>
  <si>
    <t>Köznevelési feladatok támogatása (911201)</t>
  </si>
  <si>
    <t>Szociális feladatok támogatása (911301)</t>
  </si>
  <si>
    <t>szerinti lemondási kötelezettség</t>
  </si>
  <si>
    <t>1.2.</t>
  </si>
  <si>
    <t>2.1.</t>
  </si>
  <si>
    <t>Kamatbevétel (940801)</t>
  </si>
  <si>
    <t>3.1.</t>
  </si>
  <si>
    <t>4.1.</t>
  </si>
  <si>
    <t>4.2.</t>
  </si>
  <si>
    <t>44/2014. (VII.30.) TF. Biz. határozat a KEOP-4.10.0/F és KEOP-4.10.0/N</t>
  </si>
  <si>
    <t xml:space="preserve">kódszámú, intézmények energetikai fejlesztésére irányuló pályázatok </t>
  </si>
  <si>
    <t>155/2014. (VI.25.) Kt. határozat a Petőfi Sándor Általános Iskola új épületének</t>
  </si>
  <si>
    <t>5.1.</t>
  </si>
  <si>
    <t>Móri Többcélú Kistérségi Társulás működési támogatása (550603)</t>
  </si>
  <si>
    <t>nem tervezett többletkiadására forrás biztosítása</t>
  </si>
  <si>
    <t>Bérkompenzációra forrásátadás</t>
  </si>
  <si>
    <t>Ágazati pótlék címén forrásátadás</t>
  </si>
  <si>
    <t>Mór Mikrokörzeti Szociális Intézményi Társulás támogatása (550604)</t>
  </si>
  <si>
    <t>Bérkompenzációra és ágazati pótlékra forrásátadás</t>
  </si>
  <si>
    <t>Munkáltatói kereset-kiegészítés</t>
  </si>
  <si>
    <t>Könyvtári érdekeltségnövelő támogatás</t>
  </si>
  <si>
    <t>Támogatási célú finanszírozási műveletek (018030)</t>
  </si>
  <si>
    <t>6.1.</t>
  </si>
  <si>
    <t>Polgármesteri Hivatal (591501)</t>
  </si>
  <si>
    <t>6.2.</t>
  </si>
  <si>
    <t>Napsugár Óvoda (591502)</t>
  </si>
  <si>
    <t>Meseház Óvoda (591503)</t>
  </si>
  <si>
    <t>Pitypang Óvoda (591504)</t>
  </si>
  <si>
    <t>Nefelejcs Bölcsőde (591505)</t>
  </si>
  <si>
    <t>Lamberg-kastély Kulturális Központ (591506)</t>
  </si>
  <si>
    <t>Ellátó Központ (591507)</t>
  </si>
  <si>
    <t>7.1.</t>
  </si>
  <si>
    <t>8.1.</t>
  </si>
  <si>
    <t>9.1.</t>
  </si>
  <si>
    <t>10.1.</t>
  </si>
  <si>
    <t xml:space="preserve">= </t>
  </si>
  <si>
    <t>Mária szobor pályázati önerő (564004)</t>
  </si>
  <si>
    <t>Baboskút terület rendezés (562014)</t>
  </si>
  <si>
    <t>Család és nővédelmi egészségügyi gondozás (074031)</t>
  </si>
  <si>
    <t>11.1.</t>
  </si>
  <si>
    <t>Ágazati pótlék</t>
  </si>
  <si>
    <t>Bérkompenzáció</t>
  </si>
  <si>
    <t>Munkaadókat terhelő járulékok</t>
  </si>
  <si>
    <t>12.1.</t>
  </si>
  <si>
    <t xml:space="preserve">154/2014. (VI.25.) Kt. határozat a Móri SE Labdarúgó Szakosztály kérelme </t>
  </si>
  <si>
    <t>tárgyában: Sportfejlesztési program támogatása 2013/2014 (588007)</t>
  </si>
  <si>
    <t>13.1.</t>
  </si>
  <si>
    <t>22/2014. (VI.10.) TF. Biz. határozat a Wekerle Sándor Szabadidőközpont</t>
  </si>
  <si>
    <t>Fejezeti és általános tartalékok elszámolása (900070)</t>
  </si>
  <si>
    <t>14.1.</t>
  </si>
  <si>
    <t>Évközi normatíva lemondás tartalék (551202)</t>
  </si>
  <si>
    <t>Munkáltatói kereset-kiegészítés céltartalék (551206)</t>
  </si>
  <si>
    <t>előkészítéséről: Intézményi beszerzések céltartalék (551203)</t>
  </si>
  <si>
    <t>Választókerületi feladatok céltartalék (551218)</t>
  </si>
  <si>
    <t>Általános tartalék (551201)</t>
  </si>
  <si>
    <t>tárgyában</t>
  </si>
  <si>
    <t>Egyéb működési célú támogatások államháztartáson belülről</t>
  </si>
  <si>
    <t>Köznevelési feladatok átadása miatt:</t>
  </si>
  <si>
    <t>Móri Többcélú Kistérségi Társulástól gazdálkodási feladatokra (916101)</t>
  </si>
  <si>
    <t>Európai Parlamenti választásra átvett pénzeszköz (916103)</t>
  </si>
  <si>
    <t>Az önkormányzati vagyonnal való gazdálkodással kapcsolatok feladatok (013350)</t>
  </si>
  <si>
    <t>Szabadidős park, fürdő és strandszolgáltatás (081061)</t>
  </si>
  <si>
    <t>Versenysport- és utánpótlás-nevelési tevékenység és támogatása (081041)</t>
  </si>
  <si>
    <t>Munkaadókat terhleő járulékok</t>
  </si>
  <si>
    <t>3.2.</t>
  </si>
  <si>
    <t>3.3.</t>
  </si>
  <si>
    <t>Törvény szerinti illetmények (511011): bérkompenzáció címén</t>
  </si>
  <si>
    <t>Bérkompenzációhoz kapcsolódó járulékfizetési kötelezettség</t>
  </si>
  <si>
    <t>Szociális hozzájárulási adó (520001)</t>
  </si>
  <si>
    <t>SZOCHO kedvezmény 1-12. hó</t>
  </si>
  <si>
    <t>Európai parlamenti választásokkal kapcsolatos dologi kiadások (531207)</t>
  </si>
  <si>
    <t>Irányítószervtől kapott támogatás (981601)</t>
  </si>
  <si>
    <t>SZOCHO kedvezményből eredő befizetési kötelezettség (550202)</t>
  </si>
  <si>
    <t>SZOCHO kedvezményből eredő befizetési kötelezettség</t>
  </si>
  <si>
    <t>"Móri Ezerjó Nyár 2014" pályázati forrás NKA-tól</t>
  </si>
  <si>
    <t>Mórikum 2013. elszámolásából eredő NKA támogatás</t>
  </si>
  <si>
    <t>Egyéb felhalmozási célú támogatások államháztartáson belülről</t>
  </si>
  <si>
    <t>Eszközfejlesztési pályázati forrás NKA-tól</t>
  </si>
  <si>
    <t>Irányítószertől kapott támogatás</t>
  </si>
  <si>
    <t>Munkáltatói keresetkiegészítés</t>
  </si>
  <si>
    <t>Munkáltatói keresetkiegészítéshez kapcsolódó járulékfizetési kötelezettség</t>
  </si>
  <si>
    <t>Wekerle kiállítás áthúzódó kiadása</t>
  </si>
  <si>
    <t>Mór Ezerjó Nyár 2014</t>
  </si>
  <si>
    <t>Felmentési illetmény forrás kiegészítése</t>
  </si>
  <si>
    <t>Felmentési illetményhez kapcsolódó járulékfizetési kötelezettség</t>
  </si>
  <si>
    <t xml:space="preserve">Táncsics Mihály Gimnázium energetikai korszerűsítése pályázat előkészítési </t>
  </si>
  <si>
    <t>Irányítószervtől kapott támogatás</t>
  </si>
  <si>
    <t>Áfa visszatérülés</t>
  </si>
  <si>
    <t>Főösszeg változás</t>
  </si>
  <si>
    <t>MÓR VÁROSI ÖNKORMÁNYZAT</t>
  </si>
  <si>
    <t>KÉPVISELŐ-TESTÜLETE</t>
  </si>
  <si>
    <t>RÉSZÉRE</t>
  </si>
  <si>
    <t>/ napirend</t>
  </si>
  <si>
    <t xml:space="preserve">Előterjesztő: </t>
  </si>
  <si>
    <t>Fenyves Péter</t>
  </si>
  <si>
    <t>polgármester</t>
  </si>
  <si>
    <t>Előkészítette:</t>
  </si>
  <si>
    <r>
      <t>·</t>
    </r>
    <r>
      <rPr>
        <sz val="7"/>
        <color indexed="8"/>
        <rFont val="Times New Roman"/>
        <family val="1"/>
      </rPr>
      <t xml:space="preserve">         </t>
    </r>
    <r>
      <rPr>
        <sz val="12"/>
        <color indexed="8"/>
        <rFont val="Arial"/>
        <family val="2"/>
      </rPr>
      <t xml:space="preserve">nyilvános ülésre </t>
    </r>
    <r>
      <rPr>
        <sz val="12"/>
        <color indexed="8"/>
        <rFont val="Wingdings 2"/>
        <family val="1"/>
      </rPr>
      <t>S</t>
    </r>
  </si>
  <si>
    <r>
      <t>·</t>
    </r>
    <r>
      <rPr>
        <sz val="7"/>
        <color indexed="8"/>
        <rFont val="Times New Roman"/>
        <family val="1"/>
      </rPr>
      <t xml:space="preserve">         </t>
    </r>
    <r>
      <rPr>
        <sz val="12"/>
        <color indexed="8"/>
        <rFont val="Arial"/>
        <family val="2"/>
      </rPr>
      <t xml:space="preserve">zárt ülésre </t>
    </r>
    <r>
      <rPr>
        <sz val="12"/>
        <color indexed="8"/>
        <rFont val="Wingdings 2"/>
        <family val="1"/>
      </rPr>
      <t>£</t>
    </r>
  </si>
  <si>
    <r>
      <t xml:space="preserve">jogalapja:  Mötv. 46.§ (2) a) </t>
    </r>
    <r>
      <rPr>
        <sz val="12"/>
        <color indexed="8"/>
        <rFont val="Wingdings 2"/>
        <family val="1"/>
      </rPr>
      <t>£</t>
    </r>
  </si>
  <si>
    <r>
      <t xml:space="preserve">Mötv. 46.§ (2) b) </t>
    </r>
    <r>
      <rPr>
        <sz val="12"/>
        <color indexed="8"/>
        <rFont val="Wingdings 2"/>
        <family val="1"/>
      </rPr>
      <t>£</t>
    </r>
  </si>
  <si>
    <r>
      <t xml:space="preserve">Mötv. 46.§ (2) c) </t>
    </r>
    <r>
      <rPr>
        <sz val="12"/>
        <color indexed="8"/>
        <rFont val="Wingdings 2"/>
        <family val="1"/>
      </rPr>
      <t>£</t>
    </r>
  </si>
  <si>
    <r>
      <t>·</t>
    </r>
    <r>
      <rPr>
        <sz val="7"/>
        <color indexed="8"/>
        <rFont val="Times New Roman"/>
        <family val="1"/>
      </rPr>
      <t xml:space="preserve">         </t>
    </r>
    <r>
      <rPr>
        <sz val="12"/>
        <color indexed="8"/>
        <rFont val="Arial"/>
        <family val="2"/>
      </rPr>
      <t xml:space="preserve">egyszerű többség </t>
    </r>
    <r>
      <rPr>
        <sz val="12"/>
        <color indexed="8"/>
        <rFont val="Wingdings 2"/>
        <family val="1"/>
      </rPr>
      <t>£</t>
    </r>
  </si>
  <si>
    <r>
      <t>·</t>
    </r>
    <r>
      <rPr>
        <sz val="7"/>
        <color indexed="8"/>
        <rFont val="Times New Roman"/>
        <family val="1"/>
      </rPr>
      <t xml:space="preserve">         </t>
    </r>
    <r>
      <rPr>
        <sz val="12"/>
        <color indexed="8"/>
        <rFont val="Arial"/>
        <family val="2"/>
      </rPr>
      <t xml:space="preserve">minősített többség </t>
    </r>
    <r>
      <rPr>
        <sz val="12"/>
        <color indexed="8"/>
        <rFont val="Wingdings 2"/>
        <family val="1"/>
      </rPr>
      <t>S</t>
    </r>
  </si>
  <si>
    <t>jogalapja:  Mötv. 42. § 1. pontja és 50. §</t>
  </si>
  <si>
    <t>-        Költségvetési és Adóügyi Iroda</t>
  </si>
  <si>
    <t>Mór Városi Önkormányzat 2014. évi költségvetéséről szóló 4/2014. (II.14.) önkormányzati rendelet módosítására</t>
  </si>
  <si>
    <t>Közömbös</t>
  </si>
  <si>
    <t>Biztosítottak</t>
  </si>
  <si>
    <r>
      <t>1.</t>
    </r>
    <r>
      <rPr>
        <sz val="7"/>
        <color indexed="8"/>
        <rFont val="Times New Roman"/>
        <family val="1"/>
      </rPr>
      <t xml:space="preserve">    </t>
    </r>
    <r>
      <rPr>
        <sz val="12"/>
        <color indexed="8"/>
        <rFont val="Arial"/>
        <family val="2"/>
      </rPr>
      <t>társadalmi hatásai:</t>
    </r>
  </si>
  <si>
    <r>
      <t>2.</t>
    </r>
    <r>
      <rPr>
        <sz val="7"/>
        <color indexed="8"/>
        <rFont val="Times New Roman"/>
        <family val="1"/>
      </rPr>
      <t xml:space="preserve">    </t>
    </r>
    <r>
      <rPr>
        <sz val="12"/>
        <color indexed="8"/>
        <rFont val="Arial"/>
        <family val="2"/>
      </rPr>
      <t>gazdasági hatásai:</t>
    </r>
  </si>
  <si>
    <r>
      <t>3.</t>
    </r>
    <r>
      <rPr>
        <sz val="7"/>
        <color indexed="8"/>
        <rFont val="Times New Roman"/>
        <family val="1"/>
      </rPr>
      <t xml:space="preserve">    </t>
    </r>
    <r>
      <rPr>
        <sz val="12"/>
        <color indexed="8"/>
        <rFont val="Arial"/>
        <family val="2"/>
      </rPr>
      <t>költségvetési hatásai:</t>
    </r>
  </si>
  <si>
    <r>
      <t>3.1.</t>
    </r>
    <r>
      <rPr>
        <sz val="7"/>
        <color indexed="8"/>
        <rFont val="Times New Roman"/>
        <family val="1"/>
      </rPr>
      <t xml:space="preserve">        </t>
    </r>
    <r>
      <rPr>
        <sz val="12"/>
        <color indexed="8"/>
        <rFont val="Arial"/>
        <family val="2"/>
      </rPr>
      <t>az intézkedés költségvetési egyenlegrontó hatása:</t>
    </r>
  </si>
  <si>
    <r>
      <t>3.2.</t>
    </r>
    <r>
      <rPr>
        <sz val="7"/>
        <color indexed="8"/>
        <rFont val="Times New Roman"/>
        <family val="1"/>
      </rPr>
      <t xml:space="preserve">        </t>
    </r>
    <r>
      <rPr>
        <sz val="12"/>
        <color indexed="8"/>
        <rFont val="Arial"/>
        <family val="2"/>
      </rPr>
      <t>az intézkedés egyenlegrontó hatásának fedezete a költségvetésben:</t>
    </r>
  </si>
  <si>
    <r>
      <t>3.3.</t>
    </r>
    <r>
      <rPr>
        <sz val="7"/>
        <color indexed="8"/>
        <rFont val="Times New Roman"/>
        <family val="1"/>
      </rPr>
      <t xml:space="preserve">        </t>
    </r>
    <r>
      <rPr>
        <sz val="12"/>
        <color indexed="8"/>
        <rFont val="Arial"/>
        <family val="2"/>
      </rPr>
      <t>az intézkedési költségvetési egyenlegjavító hatása:</t>
    </r>
  </si>
  <si>
    <r>
      <t>3.4.</t>
    </r>
    <r>
      <rPr>
        <sz val="7"/>
        <color indexed="8"/>
        <rFont val="Times New Roman"/>
        <family val="1"/>
      </rPr>
      <t xml:space="preserve">        </t>
    </r>
    <r>
      <rPr>
        <sz val="12"/>
        <color indexed="8"/>
        <rFont val="Arial"/>
        <family val="2"/>
      </rPr>
      <t>az intézkedés egyenlegjavító hatásának figyelembevétele a költségvetésben:</t>
    </r>
  </si>
  <si>
    <r>
      <t>3.5.</t>
    </r>
    <r>
      <rPr>
        <sz val="7"/>
        <color indexed="8"/>
        <rFont val="Times New Roman"/>
        <family val="1"/>
      </rPr>
      <t xml:space="preserve">        </t>
    </r>
    <r>
      <rPr>
        <sz val="12"/>
        <color indexed="8"/>
        <rFont val="Arial"/>
        <family val="2"/>
      </rPr>
      <t>teljes hatás:</t>
    </r>
  </si>
  <si>
    <r>
      <t>3.6.</t>
    </r>
    <r>
      <rPr>
        <sz val="7"/>
        <color indexed="8"/>
        <rFont val="Times New Roman"/>
        <family val="1"/>
      </rPr>
      <t xml:space="preserve">        </t>
    </r>
    <r>
      <rPr>
        <sz val="12"/>
        <color indexed="8"/>
        <rFont val="Arial"/>
        <family val="2"/>
      </rPr>
      <t>teljes hatás az elfogadott költségvetéshez képest:</t>
    </r>
  </si>
  <si>
    <r>
      <t>4.</t>
    </r>
    <r>
      <rPr>
        <sz val="7"/>
        <color indexed="8"/>
        <rFont val="Times New Roman"/>
        <family val="1"/>
      </rPr>
      <t xml:space="preserve">    </t>
    </r>
    <r>
      <rPr>
        <sz val="12"/>
        <color indexed="8"/>
        <rFont val="Arial"/>
        <family val="2"/>
      </rPr>
      <t>környezeti következményei:</t>
    </r>
  </si>
  <si>
    <r>
      <t>5.</t>
    </r>
    <r>
      <rPr>
        <sz val="7"/>
        <color indexed="8"/>
        <rFont val="Times New Roman"/>
        <family val="1"/>
      </rPr>
      <t xml:space="preserve">    </t>
    </r>
    <r>
      <rPr>
        <sz val="12"/>
        <color indexed="8"/>
        <rFont val="Arial"/>
        <family val="2"/>
      </rPr>
      <t>egészségi következményei:</t>
    </r>
  </si>
  <si>
    <r>
      <t>6.</t>
    </r>
    <r>
      <rPr>
        <sz val="7"/>
        <color indexed="8"/>
        <rFont val="Times New Roman"/>
        <family val="1"/>
      </rPr>
      <t xml:space="preserve">    </t>
    </r>
    <r>
      <rPr>
        <sz val="12"/>
        <color indexed="8"/>
        <rFont val="Arial"/>
        <family val="2"/>
      </rPr>
      <t>adminisztratív terheket befolyásoló hatásai:</t>
    </r>
  </si>
  <si>
    <r>
      <t>7.</t>
    </r>
    <r>
      <rPr>
        <sz val="7"/>
        <color indexed="8"/>
        <rFont val="Times New Roman"/>
        <family val="1"/>
      </rPr>
      <t xml:space="preserve">    </t>
    </r>
    <r>
      <rPr>
        <sz val="12"/>
        <color indexed="8"/>
        <rFont val="Arial"/>
        <family val="2"/>
      </rPr>
      <t>jogszabály megalkotásának szükségessége, a jogalkotás elmaradásának várható következménye:</t>
    </r>
  </si>
  <si>
    <r>
      <t>8.</t>
    </r>
    <r>
      <rPr>
        <sz val="7"/>
        <color indexed="8"/>
        <rFont val="Times New Roman"/>
        <family val="1"/>
      </rPr>
      <t xml:space="preserve">    </t>
    </r>
    <r>
      <rPr>
        <sz val="12"/>
        <color indexed="8"/>
        <rFont val="Arial"/>
        <family val="2"/>
      </rPr>
      <t>a jogszabály alkalmazásához szükséges személyi, szervezeti, tárgyi és pénzügyi feltételek:</t>
    </r>
  </si>
  <si>
    <t>JAVASLAT</t>
  </si>
  <si>
    <t>Mór, 2014. szeptember 10.</t>
  </si>
  <si>
    <t>ELŐZETES HATÁSVIZSGÁLAT</t>
  </si>
  <si>
    <t>előkészítéséről: Pitypang Óvoda napelem fejlesztés</t>
  </si>
  <si>
    <t>építése tárgyában: Intézményi épület felújítások tervezési költsége (571002)</t>
  </si>
  <si>
    <t xml:space="preserve">Más szerv részére végzett pénzügyi-gazdálkodási, üzemeltetési, egyéb </t>
  </si>
  <si>
    <t>szolgáltatások (013360)</t>
  </si>
  <si>
    <t xml:space="preserve">Dologi kiadások </t>
  </si>
  <si>
    <t>Kiemelt állami és önkormányzati rendezvények (016080)</t>
  </si>
  <si>
    <t>Személyi juttatások előirányzat</t>
  </si>
  <si>
    <t>10/H/2014. (VI.26.) sz. Ph. határozat: Reprezentációs keret (512030)</t>
  </si>
  <si>
    <t>10/H/2014. (VI.26.) sz. Ph. határozat: Egyéb készlet beszerzés (531203)</t>
  </si>
  <si>
    <t>11/H/2014. (VII.8.) sz. Ph. határozat: Mórikum program kiadásai (533742)</t>
  </si>
  <si>
    <t xml:space="preserve">13/H/2014. (VII.28.) sz. Ph. határozat: Kis értékű informatikai eszköz </t>
  </si>
  <si>
    <t>beszerzés (563001)</t>
  </si>
  <si>
    <t>1/H/2014. (VII.28.) sz. jegyzői határozat: Jegyzői hatáskörű keret</t>
  </si>
  <si>
    <t>Civil szervezetek működési támogatása (084031)</t>
  </si>
  <si>
    <t>1/H/2014. (VII.28.) sz. jegyzői határozat: Mór Városi Polgárőr Egyesület</t>
  </si>
  <si>
    <t>támogatása</t>
  </si>
  <si>
    <t>2/H/2014. (VIII.7.) sz. jegyzői határozat: Jegyzői hatáskörű keret</t>
  </si>
  <si>
    <t>Kártalanítás Bajcsy-Zs. E. utca közcélú vízelvezetési szolgalmi jog</t>
  </si>
  <si>
    <t>létesítésével kapcsolatban (535511)</t>
  </si>
  <si>
    <t>14/H/2014. (VIII.31.) sz. Ph. határozat: Reprezentáció (512301)</t>
  </si>
  <si>
    <t>15/H/2014. (VIII.6.) sz. Ph. határozat</t>
  </si>
  <si>
    <t>Reklám és propaganda kiadások (534101)</t>
  </si>
  <si>
    <t>12/H/2014. (VII.22.) sz. Ph. határozat</t>
  </si>
  <si>
    <t>16.1.</t>
  </si>
  <si>
    <t>17.1.</t>
  </si>
  <si>
    <t>18.1.</t>
  </si>
  <si>
    <t>20703/26/00207. ügyszámú hatósági szerződés alapján</t>
  </si>
  <si>
    <t>20703/26/00215. ügyszámú hatósági szerződés alapján</t>
  </si>
  <si>
    <t>Hosszabb időtartú közfoglalkoztatás (041233)</t>
  </si>
  <si>
    <t>15.2.</t>
  </si>
  <si>
    <t>15.3.</t>
  </si>
  <si>
    <t>15.4.</t>
  </si>
  <si>
    <t>19.1.</t>
  </si>
  <si>
    <t>2.2</t>
  </si>
  <si>
    <t>Elvonások és befizetések bevételei</t>
  </si>
  <si>
    <t>2.3.</t>
  </si>
  <si>
    <t>1.3.</t>
  </si>
  <si>
    <t>Normatív hozzájárulások (911101)</t>
  </si>
  <si>
    <t>Előző évi költségvetési kiegészítések, visszatérülések (912001)</t>
  </si>
  <si>
    <t>Nyári szociális gyermekétkeztetés támogatása (916608)</t>
  </si>
  <si>
    <t>Nyári szociális gyermekétkezetés támogatása (916608)</t>
  </si>
  <si>
    <t>Egyéb szociális természetbeni és pénzbeli ellátások (107060)</t>
  </si>
  <si>
    <t>Köztemetés visszafizetés (940209)</t>
  </si>
  <si>
    <t>5.2.</t>
  </si>
  <si>
    <t>Környezetvédelmi bírság (936105)</t>
  </si>
  <si>
    <t>Önkormányzatok felhalmozási támogatása</t>
  </si>
  <si>
    <t>Közművelődési érdekeltségnövelő támogatás</t>
  </si>
  <si>
    <t>Közműfejlesztési hozzájárulás</t>
  </si>
  <si>
    <t>Start-munka program - Téli közfoglalkoztatás (041232)</t>
  </si>
  <si>
    <t>Téli közfoglalkoztatás támogatása (916004)</t>
  </si>
  <si>
    <t>Téli közfoglalkoztatás támogatása (925002)</t>
  </si>
  <si>
    <t>Használt, bontott járdalap értékesítés bevétele (940101)</t>
  </si>
  <si>
    <t>10.2</t>
  </si>
  <si>
    <t>Lakossági közműfejlesztési hozzájárulás</t>
  </si>
  <si>
    <t>Hűségjutalom forrás kiegészítése</t>
  </si>
  <si>
    <t>Honlap készítés polgármester részére (532108)</t>
  </si>
  <si>
    <t>Kis értékű eszköz beszerzés (564105)</t>
  </si>
  <si>
    <t>Nem lakáscélú helyiségek felújítása</t>
  </si>
  <si>
    <t>13.2.</t>
  </si>
  <si>
    <t>13.3.</t>
  </si>
  <si>
    <t>14.2.</t>
  </si>
  <si>
    <t>Kis értékű eszköz beszerzés (564104)</t>
  </si>
  <si>
    <t>Start munka-program - Téli közfoglalkoztatás (041232)</t>
  </si>
  <si>
    <t xml:space="preserve">Téli közfoglalkoztatáshoz kapcsolódó járulékfizetési kötelezettség </t>
  </si>
  <si>
    <t>forrás kiegészítése (521003)</t>
  </si>
  <si>
    <t>Téli közfoglalkoztatás forrás kiegészítése (511011)</t>
  </si>
  <si>
    <t>Üzemeltetési anyag beszerzés (531213)</t>
  </si>
  <si>
    <t>Kis értékű eszköz beszerzés (564101)</t>
  </si>
  <si>
    <t>Munkabiztonsági oktatási</t>
  </si>
  <si>
    <t>Üzemeltetési anyagbeszerzés (531214)</t>
  </si>
  <si>
    <t>Nem veszélyes (települési) hulladék vegyes (ömlesztett) begyűjtése, szállítása,</t>
  </si>
  <si>
    <t>átrakása (051030)</t>
  </si>
  <si>
    <t>Hulladékgyűjtők vásárlása, elhelyezése (531207)</t>
  </si>
  <si>
    <t>Hulladékgyűjtők vásárlása (564103)</t>
  </si>
  <si>
    <t>20.1.</t>
  </si>
  <si>
    <t>21.1.</t>
  </si>
  <si>
    <t>22.1.</t>
  </si>
  <si>
    <t>23.1.</t>
  </si>
  <si>
    <t>24.1.</t>
  </si>
  <si>
    <t>25.1.</t>
  </si>
  <si>
    <t>Nemzeti kulturális együttműködés (086030)</t>
  </si>
  <si>
    <t>26.1.</t>
  </si>
  <si>
    <t>Reprezentációs kiadások (512031)</t>
  </si>
  <si>
    <t>14.3.</t>
  </si>
  <si>
    <t>Módosított főösszeg</t>
  </si>
  <si>
    <t>Belföldi kiküldetések (534102)</t>
  </si>
  <si>
    <t>RENDELET-TERVEZET</t>
  </si>
  <si>
    <t>Mór Városi Önkormányzat Képviselő-testületének</t>
  </si>
  <si>
    <t>Mór Városi Önkormányzat 2014. évi költségvetéséről szóló</t>
  </si>
  <si>
    <t>4/2014. (II.14.) önkormányzati rendelet módosításáról</t>
  </si>
  <si>
    <t>Mór Városi Önkormányzat képviselő-testülete az államháztartásról szóló 2011. évi CXCV. törvény 23. § (1) bekezdésében kapott felhatalmazás alapján, az Alaptörvény 32. cikk (1) bekezdés f) pontjában meghatározott feladatkörében eljárva, az államháztartásról szóló törvény végrehajtásáról szóló 368/2011. (XII. 31.) Korm. rendelet 27. § (1)-(2) bekezdésben biztosított véleményezési jogkörében eljáró Pénzügyi Bizottság véleményének kikérésével a következőket rendeli el:</t>
  </si>
  <si>
    <t>„(1) A Képviselő-testület az önkormányzat 2014. évi költségvetését</t>
  </si>
  <si>
    <t>Költségvetési bevétellel</t>
  </si>
  <si>
    <t>Költségvetési kiadással</t>
  </si>
  <si>
    <t>Költségvetési egyenleggel</t>
  </si>
  <si>
    <t>állapítja meg.</t>
  </si>
  <si>
    <t>(2) A költségvetési egyenlegből</t>
  </si>
  <si>
    <t>a) működési célú</t>
  </si>
  <si>
    <t>b) felhalmozási célú</t>
  </si>
  <si>
    <t>(2) A pénzmaradványból:</t>
  </si>
  <si>
    <t xml:space="preserve">a) működési célú pénzmaradvány </t>
  </si>
  <si>
    <t>b) felhalmozási célú pénzmaradvány</t>
  </si>
  <si>
    <t>lép.</t>
  </si>
  <si>
    <t xml:space="preserve">a)     </t>
  </si>
  <si>
    <t xml:space="preserve">b)     </t>
  </si>
  <si>
    <t xml:space="preserve">c)     </t>
  </si>
  <si>
    <t>1.    1. melléklete helyébe az 1. melléklet</t>
  </si>
  <si>
    <t>2.    2. melléklete helyébe a 2. melléklet</t>
  </si>
  <si>
    <t>3.    3. melléklete helyébe a 3. melléklet</t>
  </si>
  <si>
    <t>4.    4. melléklete helyébe a 4. melléklet</t>
  </si>
  <si>
    <t>5.    5. melléklete helyébe az 5. melléklet</t>
  </si>
  <si>
    <t xml:space="preserve">Meghívásra javasoltak: - </t>
  </si>
  <si>
    <t>……/2014. (IX.17.) önkormányzati rendelete</t>
  </si>
  <si>
    <r>
      <rPr>
        <b/>
        <sz val="12"/>
        <color indexed="8"/>
        <rFont val="Arial"/>
        <family val="2"/>
      </rPr>
      <t>1. §</t>
    </r>
    <r>
      <rPr>
        <sz val="12"/>
        <color indexed="8"/>
        <rFont val="Arial"/>
        <family val="2"/>
      </rPr>
      <t xml:space="preserve"> Mór Városi Önkormányzat 2014. évi költségvetéséről szóló 4/2014. (II.14.) önkormányzati rendelet (továbbiakban: R) 2. § (1)-(2) bekezdése helyébe a következő rendelkezés lép:</t>
    </r>
  </si>
  <si>
    <r>
      <rPr>
        <b/>
        <sz val="12"/>
        <color indexed="8"/>
        <rFont val="Arial"/>
        <family val="2"/>
      </rPr>
      <t>2. §</t>
    </r>
    <r>
      <rPr>
        <sz val="12"/>
        <color indexed="8"/>
        <rFont val="Arial"/>
        <family val="2"/>
      </rPr>
      <t xml:space="preserve"> A R. 3. §-a helyébe a következő rendelkezés lép:</t>
    </r>
  </si>
  <si>
    <r>
      <rPr>
        <b/>
        <sz val="12"/>
        <color indexed="8"/>
        <rFont val="Arial"/>
        <family val="2"/>
      </rPr>
      <t>3. §</t>
    </r>
    <r>
      <rPr>
        <sz val="12"/>
        <color indexed="8"/>
        <rFont val="Arial"/>
        <family val="2"/>
      </rPr>
      <t xml:space="preserve"> A R 5. §-a helyébe a következő rendelkezés lép:</t>
    </r>
  </si>
  <si>
    <r>
      <rPr>
        <b/>
        <sz val="12"/>
        <color indexed="8"/>
        <rFont val="Arial"/>
        <family val="2"/>
      </rPr>
      <t>4. §</t>
    </r>
    <r>
      <rPr>
        <sz val="12"/>
        <color indexed="8"/>
        <rFont val="Arial"/>
        <family val="2"/>
      </rPr>
      <t xml:space="preserve"> A R:</t>
    </r>
  </si>
  <si>
    <r>
      <rPr>
        <b/>
        <sz val="12"/>
        <color indexed="8"/>
        <rFont val="Arial"/>
        <family val="2"/>
      </rPr>
      <t>5. §</t>
    </r>
    <r>
      <rPr>
        <sz val="12"/>
        <color indexed="8"/>
        <rFont val="Arial"/>
        <family val="2"/>
      </rPr>
      <t xml:space="preserve"> Ez a rendelet a kihirdetést követő napon lép hatályba, és 2014. szeptember 22-én hatályát veszti.</t>
    </r>
  </si>
  <si>
    <t>Előkészítette: Költségvetési és Adóügyi Iroda</t>
  </si>
  <si>
    <t>7.    9. melléklete helyébe a 6. melléklet</t>
  </si>
  <si>
    <t>8.    10. melléklete helyébe a 7. melléklet</t>
  </si>
  <si>
    <t>eFt</t>
  </si>
  <si>
    <t>eFt"</t>
  </si>
  <si>
    <t xml:space="preserve">Önkormányzatok és önkormányzati hivatalok jogalkotó és általános  </t>
  </si>
  <si>
    <t>igazgatási tevékenysége (011130)</t>
  </si>
  <si>
    <t xml:space="preserve">Közvetített szolgáltatások ellenértéke: Továbbszámlázott </t>
  </si>
  <si>
    <t>szolgáltatások (960153)</t>
  </si>
  <si>
    <t xml:space="preserve">Belterületi nem aszfaltos utak aszfaltozására biztosított </t>
  </si>
  <si>
    <t xml:space="preserve">13/H/2014. (VII.28.) sz. Ph. határozat: Üzemeltetési anyag </t>
  </si>
  <si>
    <t xml:space="preserve">16/H/2014. (VIII.19.) sz. Ph. határozat: Szakmai anyag </t>
  </si>
  <si>
    <t>beszerzés (531102)</t>
  </si>
  <si>
    <t xml:space="preserve">16/H/2014. (VIII.19.) sz. Ph. határozat: Kis értékű vagyoni értékű jogok </t>
  </si>
  <si>
    <t>beszerzése (561002)</t>
  </si>
  <si>
    <t xml:space="preserve">Sportcsarnok felújításáról: Wekerle Sándor Szabadidőközpont </t>
  </si>
  <si>
    <t xml:space="preserve">14/H/2014. (VII.31.) sz. Ph. határozat: Egyéb szervezetek </t>
  </si>
  <si>
    <t>támogatása (551110)</t>
  </si>
  <si>
    <t>céltartalék (551205)</t>
  </si>
  <si>
    <t xml:space="preserve">Sportcsarnok felújításáról: Mórhő Kft. fejlesztési támogatás </t>
  </si>
  <si>
    <t>céltartalék (551211)</t>
  </si>
  <si>
    <t xml:space="preserve">Országgyűlési, önkormányzati és európai parlamenti képviselő- </t>
  </si>
  <si>
    <t>választásokhoz kapcsolódó tevékenységek (016010)</t>
  </si>
  <si>
    <t>Országgyűlési, önkormányzati és európai parlamenti képviselő-</t>
  </si>
  <si>
    <t>választásokhoz kapcsolódó  tevékenységek (016010)</t>
  </si>
  <si>
    <t xml:space="preserve">Európai parlamenti választásokkal kapcsolatos személyi </t>
  </si>
  <si>
    <t>juttatások (512205)</t>
  </si>
  <si>
    <t xml:space="preserve">Európai parlamenti választásokkal kapcsolatos személyi juttatásokhoz </t>
  </si>
  <si>
    <t>kapcsolódó járulékfizetési kötelezettség (520007)</t>
  </si>
  <si>
    <t xml:space="preserve">Az önkormányzati vagyonnal való gazdálkodással kapcsolatok </t>
  </si>
  <si>
    <t>feladatok (013350)</t>
  </si>
  <si>
    <t xml:space="preserve">Fenyves Péter </t>
  </si>
  <si>
    <t>Iparűzési adóbevétel (935101)</t>
  </si>
  <si>
    <t xml:space="preserve">üzemeltetett Vértes Tábor „ A turisztikai tevékenységek </t>
  </si>
  <si>
    <t xml:space="preserve">ösztönzéséhez a LEADER Helyi Akciócsoportok közreműködésével </t>
  </si>
  <si>
    <t xml:space="preserve">2013-ban nyújtandó támogatások” elnevezésű eredményes pályázat </t>
  </si>
  <si>
    <t xml:space="preserve">177/2014. (VIII.27.) Kt. határozat a  Családsegítő Alapítvány által </t>
  </si>
  <si>
    <t>megvalósításának előfinanszírozása tárgyában</t>
  </si>
  <si>
    <t>183/2014. (VIII.27.) Kt. határozat Mór, út- és járdafelújítás 2014. évi</t>
  </si>
  <si>
    <t xml:space="preserve"> III. ütem közbeszerzési eljárás lezárása tárgyában és </t>
  </si>
  <si>
    <t>184/2014. (VIII.27.) Kt. határozat Mór, út- és járdafelújítás 2014. évi</t>
  </si>
  <si>
    <t>IV. ütem közbeszerzési eljárás megindításáról</t>
  </si>
  <si>
    <t>Iparűzési adó többletbevétel</t>
  </si>
  <si>
    <t>8.2.</t>
  </si>
  <si>
    <t xml:space="preserve">176/2014. (VIII.27.) Kt. határozat a Móri Turisztikai Városbemutató </t>
  </si>
  <si>
    <t xml:space="preserve">– háromnyelvű, keménykötésű – kiadvány megjelentetéséről: </t>
  </si>
  <si>
    <t>9.2</t>
  </si>
  <si>
    <t>9.3</t>
  </si>
  <si>
    <t>10.3.</t>
  </si>
  <si>
    <t>tárgyú pályázat előkészítési költsége</t>
  </si>
  <si>
    <t>Bérlakás felújítás (571001)</t>
  </si>
  <si>
    <t>12.2.</t>
  </si>
  <si>
    <t>12.3.</t>
  </si>
  <si>
    <t>12.4.</t>
  </si>
  <si>
    <t>12.5.</t>
  </si>
  <si>
    <t>12.6.</t>
  </si>
  <si>
    <t>12.7.</t>
  </si>
  <si>
    <t>Hungarikum pályázati forrás (917007)</t>
  </si>
  <si>
    <t>Köznevelési feladatátadás miatt</t>
  </si>
  <si>
    <t>Szociális feladatátadás miatt</t>
  </si>
  <si>
    <t>Ünnepi díszkiválgítás műszaki feltételeinek biztosítása (533714)</t>
  </si>
  <si>
    <t>Közterület rendezés (533715)</t>
  </si>
  <si>
    <t>14.4.</t>
  </si>
  <si>
    <t>15.1.</t>
  </si>
  <si>
    <t>Mór út és járdafelújítás III. ütem forrás kiegészítés (571005)</t>
  </si>
  <si>
    <t>Mór út és járdafelújítás IV. ütem (571005)</t>
  </si>
  <si>
    <t>forrás kiegészítése (571007)</t>
  </si>
  <si>
    <t>17.2.</t>
  </si>
  <si>
    <t>Igazgatási szolgáltatási díj</t>
  </si>
  <si>
    <t xml:space="preserve">2/H/2014. (VIII.7.) sz. jegyzői határozat: Jegyzői hatáskörű keret </t>
  </si>
  <si>
    <t>21.2.</t>
  </si>
  <si>
    <t>21.3.</t>
  </si>
  <si>
    <t>21.4.</t>
  </si>
  <si>
    <t>beszerzés (531211)</t>
  </si>
  <si>
    <t>felújítása</t>
  </si>
  <si>
    <t>megvalósításának előfinanszírozása tárgyában: Iparűzési adó</t>
  </si>
  <si>
    <t>megvalósításának előfinanszírozása tárgyában: Kötelezettséggel</t>
  </si>
  <si>
    <t>nem terhelt fejlesztési céltartalék</t>
  </si>
  <si>
    <t xml:space="preserve">122/2014. (V.28.) Kt. határozat a víziközmű fejlesztési hozzájárulás </t>
  </si>
  <si>
    <t xml:space="preserve">2014. évtől  alkalmazandó ügyviteli rendszerének és beszedési módjának </t>
  </si>
  <si>
    <t>elfogadása tárgyában: Közműfejlesztési tartalék</t>
  </si>
  <si>
    <t>Petőfi Sándor Általános Iskola iskolaépítés</t>
  </si>
  <si>
    <t>176/2014. (VIII.27.) Kt. határozat a Móri Turisztikai Városbemutató</t>
  </si>
  <si>
    <t>– háromnyelvű, keménykötésű – kiadvány megjelentetéséről</t>
  </si>
  <si>
    <t xml:space="preserve">170/2014. (VIII.27.) Kt. határozat a bérüzemeltetett Mór város </t>
  </si>
  <si>
    <t xml:space="preserve">szennyvízelvezetés és tisztítás víziközmű rendszer 2015-2029. évi </t>
  </si>
  <si>
    <t>Gördülő Fejlesztési Terve elfogadása tárgyában és 171/2014. (VIII.27.)</t>
  </si>
  <si>
    <t xml:space="preserve"> Kt. határozat a vagyonkezeléses Mór-Felsődobos ivóvízszolgáltató </t>
  </si>
  <si>
    <t>rendszer 2015-2029. évi Gördülő Fejlesztési Terve elfogadása tárgyában</t>
  </si>
  <si>
    <t>155/2014. (VI.25.) Kt. határozat a Petőfi Sándor Általános Iskola új</t>
  </si>
  <si>
    <t>épületének építése tárgyában</t>
  </si>
  <si>
    <t>Számítástechnikai eszközbeszerzés</t>
  </si>
  <si>
    <t>költségei</t>
  </si>
  <si>
    <t>Eszközbeszerzés</t>
  </si>
  <si>
    <t xml:space="preserve">Számítástechnikai eszközbeszerzés </t>
  </si>
  <si>
    <t>Laptop beszerzés</t>
  </si>
  <si>
    <t>Gyermekétkeztetési feladatokhoz igényelt támogatás MÁK felülvizsgálata</t>
  </si>
  <si>
    <t>26.2.</t>
  </si>
  <si>
    <t>26.3.</t>
  </si>
  <si>
    <t>Hivatali épületben klímarendszer kiépítésének 1. üteme</t>
  </si>
  <si>
    <t>Gárdonyi Iskola udvarán kerékpártároló építése (562015)</t>
  </si>
  <si>
    <t>Intézményi kis összegű felújítások (571003)</t>
  </si>
  <si>
    <t>Bölcsőde udvarán homokozó, fa árnyékoló építése (562016)</t>
  </si>
  <si>
    <t>5.3.</t>
  </si>
  <si>
    <t>Áfa bevételek, visszatérülések (940701)</t>
  </si>
  <si>
    <t>Szociális feladatátadás miatti forrásátvétel csökkenés:</t>
  </si>
  <si>
    <t>Szociáls Mikrotársulás önkormányzataitól átvett pénzeszköz (916002)</t>
  </si>
  <si>
    <t xml:space="preserve">Általános tartalék visszapótlása iparűzési adó többletbevételből </t>
  </si>
  <si>
    <t>(Petőfi S. Ált. Iskola épület építés előkészítési költségeivel összefüggésben)</t>
  </si>
  <si>
    <t>Kiszámlázott termékek és szolgáltatások áfája</t>
  </si>
  <si>
    <t>Közműfejlesztési hozzájárulás Fejérvíz Zrt-től (940413)</t>
  </si>
  <si>
    <t>7.2.</t>
  </si>
  <si>
    <t>I.1.08.</t>
  </si>
  <si>
    <t>512.</t>
  </si>
  <si>
    <t>513.</t>
  </si>
  <si>
    <t>514.</t>
  </si>
  <si>
    <t>515.</t>
  </si>
  <si>
    <t>516.</t>
  </si>
  <si>
    <t>517.</t>
  </si>
  <si>
    <t>518.</t>
  </si>
  <si>
    <t>Vízellátással kapcsolatos közmű építése, fenntartása, üzemeltetése (063080)</t>
  </si>
  <si>
    <t>Jubileumi jutalom (1 fő 40 éves)</t>
  </si>
  <si>
    <t>Jubileumi jutalommal kapcsolatos járulékfizetési kötelezettség</t>
  </si>
  <si>
    <t>Mór Városi Önkormányzat 2014. február 15-én léptette hatályba az Önkormányzat 2014. évi költségvetéséről szóló rendeletét, amelynek harmadik alkalommal történő módosítására jelen előterjesztésben teszek javaslatot.
A rendelet módosítását a köznevelési és szociális feladatellátással kapcsolatos változások, saját hatáskörű módosítások, a Képviselő-testület döntései, a féléves teljesítésadatok, valamint a 2014. évi közfoglalkoztatás indokolják.</t>
  </si>
  <si>
    <t>Közműfejlesztési tartalék</t>
  </si>
  <si>
    <t>Petőfi Sándor Általános Iskola új iskolaépület építése</t>
  </si>
  <si>
    <t>„5. § A képviselő-testület az önkormányzat általános tartalékát 15.558 eFt összegben, céltartalékát 375.644 eFt összegben a 9. mellékletben felsorolt célokra állapítja meg.”</t>
  </si>
  <si>
    <t>Leadás napja: 2014. szeptember 3.</t>
  </si>
  <si>
    <t>Mór, 2014. szeptember 3.</t>
  </si>
  <si>
    <t>Családsegítő Alapítvány pályázat megvalósításának előfinanszírozása</t>
  </si>
  <si>
    <t>Kis értékű eszköz beszerzés</t>
  </si>
  <si>
    <t>Gárdonyi Iskola udvarán kerékpártároló építése</t>
  </si>
  <si>
    <t>Bölcsőde udvarán homokozó, fa árnyékoló építése</t>
  </si>
  <si>
    <t>Pitypang Óvoda napelem fejlesztés pályázati előkészítés költsége</t>
  </si>
  <si>
    <t>Nem veszélyes (települési) hulladék vegyes (ömlesztett) begyüjtése, szállítása, átrakása (051030)</t>
  </si>
  <si>
    <t>Kis értékű informatikai eszköz beszerzés</t>
  </si>
  <si>
    <t>Kis értékű vagyoni értékű jog beszerzés</t>
  </si>
  <si>
    <t>Wekerle Sándor Szabadidőközpont felújítására Mórhő Kft-nek</t>
  </si>
  <si>
    <t>Kötelezettséggel nem terhelt fejlesztési tartalék</t>
  </si>
  <si>
    <t>Petőfi Sándor Általános Iskola új iskolaépület építés</t>
  </si>
  <si>
    <t>Táncsics Mihály Gimnázium energetikai korszerűsítése pályázat előkészítési költségei</t>
  </si>
  <si>
    <t>228.775 eFt</t>
  </si>
  <si>
    <t>A rendelet módosítását a köznevelési és szociális feladatellátással kapcsolatos változások, saját hatáskörű módosítások, a Képviselő-testület döntései, a féléves teljesítésadatok, valamint a 2014. évi közfoglalkoztatás indokolják.</t>
  </si>
  <si>
    <r>
      <t xml:space="preserve">JAVASLAT
</t>
    </r>
    <r>
      <rPr>
        <u val="single"/>
        <sz val="11"/>
        <color indexed="8"/>
        <rFont val="Arial"/>
        <family val="2"/>
      </rPr>
      <t>Mór Városi Önkormányzat 2014. évi költségvetéséről szóló 4/2014. (II.14.) önkormányzati rendelet módosítására</t>
    </r>
    <r>
      <rPr>
        <sz val="11"/>
        <color indexed="8"/>
        <rFont val="Arial"/>
        <family val="2"/>
      </rPr>
      <t xml:space="preserve">
</t>
    </r>
  </si>
  <si>
    <t>„3. § (1) A 367.338 eFt költségvetési hiány belső finanszírozására szolgáló előző évek pénzmaradványa 714.304 eFt.</t>
  </si>
  <si>
    <t>1. melléklet a 20/2014. (IX.17.) Önkormányzati rendelethez</t>
  </si>
  <si>
    <t>2. melléklet a 20/2014. (IX.17.) Önkormányzati rendelethez</t>
  </si>
  <si>
    <t>3. melléklet a 20/2014. (IX.17.) Önkormányzati rendelethez</t>
  </si>
  <si>
    <t>4. melléklet a 20/2014. (IX.17.) Önkormányzati rendelethez</t>
  </si>
  <si>
    <t>5. melléklet a 20/2014. (IX.17.) Önkormányzati rendelethez</t>
  </si>
  <si>
    <t>6. melléklet a 20/2014. (IX.17.) Önkormányzati rendelethez</t>
  </si>
  <si>
    <t>7. melléklet a 20/2014. (IX.17.) Önkormányzati rendelethez</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</si>
</sst>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
    <numFmt numFmtId="166" formatCode="#,##0_ ;\-#,##0\ "/>
    <numFmt numFmtId="167" formatCode="mmm/\ d\."/>
    <numFmt numFmtId="168" formatCode="&quot;Igen&quot;;&quot;Igen&quot;;&quot;Nem&quot;"/>
    <numFmt numFmtId="169" formatCode="&quot;Igaz&quot;;&quot;Igaz&quot;;&quot;Hamis&quot;"/>
    <numFmt numFmtId="170" formatCode="&quot;Be&quot;;&quot;Be&quot;;&quot;Ki&quot;"/>
    <numFmt numFmtId="171" formatCode="[$¥€-2]\ #\ ##,000_);[Red]\([$€-2]\ #\ ##,000\)"/>
  </numFmts>
  <fonts count="81">
    <font>
      <sz val="11"/>
      <color theme="1"/>
      <name val="Calibri"/>
      <family val="2"/>
    </font>
    <font>
      <sz val="11"/>
      <color indexed="8"/>
      <name val="Calibri"/>
      <family val="2"/>
    </font>
    <font>
      <sz val="10"/>
      <name val="Arial"/>
      <family val="2"/>
    </font>
    <font>
      <sz val="10"/>
      <name val="Arial CE"/>
      <family val="0"/>
    </font>
    <font>
      <u val="single"/>
      <sz val="12"/>
      <color indexed="12"/>
      <name val="Times New Roman CE"/>
      <family val="0"/>
    </font>
    <font>
      <u val="single"/>
      <sz val="12"/>
      <color indexed="36"/>
      <name val="Times New Roman CE"/>
      <family val="0"/>
    </font>
    <font>
      <sz val="10"/>
      <name val="Times New Roman CE"/>
      <family val="0"/>
    </font>
    <font>
      <sz val="10"/>
      <name val="MS Sans Serif"/>
      <family val="2"/>
    </font>
    <font>
      <sz val="12"/>
      <name val="Arial"/>
      <family val="2"/>
    </font>
    <font>
      <b/>
      <sz val="10"/>
      <name val="Arial"/>
      <family val="2"/>
    </font>
    <font>
      <b/>
      <sz val="12"/>
      <name val="Arial"/>
      <family val="2"/>
    </font>
    <font>
      <b/>
      <sz val="11"/>
      <name val="Arial"/>
      <family val="2"/>
    </font>
    <font>
      <i/>
      <sz val="10"/>
      <name val="Arial"/>
      <family val="2"/>
    </font>
    <font>
      <sz val="11"/>
      <name val="Arial"/>
      <family val="2"/>
    </font>
    <font>
      <b/>
      <sz val="14"/>
      <name val="Arial"/>
      <family val="2"/>
    </font>
    <font>
      <b/>
      <sz val="13"/>
      <name val="Arial"/>
      <family val="2"/>
    </font>
    <font>
      <i/>
      <sz val="11"/>
      <name val="Arial"/>
      <family val="2"/>
    </font>
    <font>
      <b/>
      <i/>
      <sz val="11"/>
      <name val="Arial"/>
      <family val="2"/>
    </font>
    <font>
      <sz val="11"/>
      <color indexed="8"/>
      <name val="Arial"/>
      <family val="2"/>
    </font>
    <font>
      <sz val="12"/>
      <color indexed="8"/>
      <name val="Arial"/>
      <family val="2"/>
    </font>
    <font>
      <sz val="7"/>
      <color indexed="8"/>
      <name val="Times New Roman"/>
      <family val="1"/>
    </font>
    <font>
      <sz val="12"/>
      <color indexed="8"/>
      <name val="Wingdings 2"/>
      <family val="1"/>
    </font>
    <font>
      <u val="single"/>
      <sz val="11"/>
      <color indexed="8"/>
      <name val="Arial"/>
      <family val="2"/>
    </font>
    <font>
      <b/>
      <sz val="12"/>
      <color indexed="8"/>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i/>
      <sz val="11"/>
      <color indexed="8"/>
      <name val="Arial"/>
      <family val="2"/>
    </font>
    <font>
      <b/>
      <sz val="10"/>
      <color indexed="8"/>
      <name val="Arial"/>
      <family val="2"/>
    </font>
    <font>
      <b/>
      <sz val="11"/>
      <color indexed="8"/>
      <name val="Arial"/>
      <family val="2"/>
    </font>
    <font>
      <u val="single"/>
      <sz val="12"/>
      <color indexed="8"/>
      <name val="Arial"/>
      <family val="2"/>
    </font>
    <font>
      <i/>
      <sz val="11"/>
      <color indexed="8"/>
      <name val="Arial"/>
      <family val="2"/>
    </font>
    <font>
      <sz val="12"/>
      <color indexed="8"/>
      <name val="Symbol"/>
      <family val="1"/>
    </font>
    <font>
      <sz val="9"/>
      <color indexed="8"/>
      <name val="Arial"/>
      <family val="2"/>
    </font>
    <font>
      <i/>
      <sz val="12"/>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sz val="11"/>
      <color theme="1"/>
      <name val="Arial"/>
      <family val="2"/>
    </font>
    <font>
      <b/>
      <i/>
      <sz val="11"/>
      <color theme="1"/>
      <name val="Arial"/>
      <family val="2"/>
    </font>
    <font>
      <b/>
      <sz val="10"/>
      <color theme="1"/>
      <name val="Arial"/>
      <family val="2"/>
    </font>
    <font>
      <b/>
      <sz val="11"/>
      <color theme="1"/>
      <name val="Arial"/>
      <family val="2"/>
    </font>
    <font>
      <sz val="12"/>
      <color theme="1"/>
      <name val="Arial"/>
      <family val="2"/>
    </font>
    <font>
      <b/>
      <sz val="12"/>
      <color theme="1"/>
      <name val="Arial"/>
      <family val="2"/>
    </font>
    <font>
      <u val="single"/>
      <sz val="12"/>
      <color theme="1"/>
      <name val="Arial"/>
      <family val="2"/>
    </font>
    <font>
      <i/>
      <sz val="11"/>
      <color theme="1"/>
      <name val="Arial"/>
      <family val="2"/>
    </font>
    <font>
      <i/>
      <sz val="12"/>
      <color theme="1"/>
      <name val="Arial"/>
      <family val="2"/>
    </font>
    <font>
      <sz val="12"/>
      <color theme="1"/>
      <name val="Symbol"/>
      <family val="1"/>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C0C0C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medium"/>
      <right style="medium"/>
      <top style="medium"/>
      <bottom/>
    </border>
    <border>
      <left style="thin"/>
      <right style="medium"/>
      <top style="medium"/>
      <bottom style="medium"/>
    </border>
    <border>
      <left style="medium"/>
      <right style="medium"/>
      <top/>
      <bottom/>
    </border>
    <border>
      <left style="medium"/>
      <right style="medium"/>
      <top/>
      <bottom style="medium"/>
    </border>
    <border>
      <left style="medium"/>
      <right style="medium"/>
      <top/>
      <bottom style="thin"/>
    </border>
    <border>
      <left/>
      <right/>
      <top/>
      <bottom style="thin"/>
    </border>
    <border>
      <left style="thin"/>
      <right style="medium"/>
      <top/>
      <bottom style="thin"/>
    </border>
    <border>
      <left style="medium"/>
      <right style="medium"/>
      <top style="thin"/>
      <bottom style="thin"/>
    </border>
    <border>
      <left style="thin"/>
      <right style="medium"/>
      <top style="thin"/>
      <bottom style="thin"/>
    </border>
    <border>
      <left style="thin"/>
      <right style="medium"/>
      <top style="thin"/>
      <botto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medium"/>
      <right style="medium"/>
      <top style="thin"/>
      <bottom style="medium"/>
    </border>
    <border>
      <left style="medium"/>
      <right/>
      <top/>
      <bottom/>
    </border>
    <border>
      <left style="medium"/>
      <right style="medium"/>
      <top style="medium"/>
      <bottom style="medium"/>
    </border>
    <border>
      <left style="medium"/>
      <right style="medium"/>
      <top style="thin"/>
      <bottom/>
    </border>
    <border>
      <left style="medium"/>
      <right style="thin"/>
      <top style="thin"/>
      <bottom style="thin"/>
    </border>
    <border>
      <left style="thin"/>
      <right/>
      <top/>
      <bottom/>
    </border>
    <border>
      <left/>
      <right style="thin"/>
      <top/>
      <bottom/>
    </border>
    <border>
      <left style="thin"/>
      <right style="thin"/>
      <top style="thin"/>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thin"/>
    </border>
    <border>
      <left/>
      <right/>
      <top style="medium"/>
      <bottom style="thin"/>
    </border>
    <border>
      <left/>
      <right style="medium"/>
      <top style="medium"/>
      <bottom style="thin"/>
    </border>
    <border>
      <left style="medium"/>
      <right/>
      <top/>
      <bottom style="medium"/>
    </border>
    <border>
      <left/>
      <right/>
      <top/>
      <bottom style="medium"/>
    </border>
    <border>
      <left style="medium"/>
      <right style="medium"/>
      <top style="medium"/>
      <bottom style="thin"/>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medium"/>
      <bottom/>
    </border>
    <border>
      <left style="thin"/>
      <right style="medium"/>
      <top/>
      <bottom style="medium"/>
    </border>
    <border>
      <left style="thin"/>
      <right style="thin"/>
      <top/>
      <bottom/>
    </border>
    <border>
      <left style="thin"/>
      <right style="thin"/>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0" fillId="22" borderId="7" applyNumberFormat="0" applyFont="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1" fillId="29" borderId="0" applyNumberFormat="0" applyBorder="0" applyAlignment="0" applyProtection="0"/>
    <xf numFmtId="0" fontId="62" fillId="30" borderId="8"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7" fillId="0" borderId="0">
      <alignment/>
      <protection/>
    </xf>
    <xf numFmtId="0" fontId="6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6" fillId="31" borderId="0" applyNumberFormat="0" applyBorder="0" applyAlignment="0" applyProtection="0"/>
    <xf numFmtId="0" fontId="67" fillId="32" borderId="0" applyNumberFormat="0" applyBorder="0" applyAlignment="0" applyProtection="0"/>
    <xf numFmtId="0" fontId="68" fillId="30" borderId="1" applyNumberFormat="0" applyAlignment="0" applyProtection="0"/>
    <xf numFmtId="9" fontId="0" fillId="0" borderId="0" applyFont="0" applyFill="0" applyBorder="0" applyAlignment="0" applyProtection="0"/>
  </cellStyleXfs>
  <cellXfs count="458">
    <xf numFmtId="0" fontId="0" fillId="0" borderId="0" xfId="0" applyFont="1" applyAlignment="1">
      <alignment/>
    </xf>
    <xf numFmtId="0" fontId="2" fillId="0" borderId="0" xfId="73">
      <alignment/>
      <protection/>
    </xf>
    <xf numFmtId="0" fontId="8" fillId="0" borderId="10" xfId="73" applyFont="1" applyBorder="1" applyAlignment="1">
      <alignment horizontal="justify" vertical="center" wrapText="1"/>
      <protection/>
    </xf>
    <xf numFmtId="0" fontId="2" fillId="0" borderId="0" xfId="69" applyAlignment="1">
      <alignment horizontal="right"/>
      <protection/>
    </xf>
    <xf numFmtId="0" fontId="2" fillId="0" borderId="0" xfId="69">
      <alignment/>
      <protection/>
    </xf>
    <xf numFmtId="0" fontId="9" fillId="33" borderId="11" xfId="69" applyFont="1" applyFill="1" applyBorder="1" applyAlignment="1">
      <alignment horizontal="center" vertical="center" wrapText="1"/>
      <protection/>
    </xf>
    <xf numFmtId="0" fontId="2" fillId="0" borderId="0" xfId="69" applyAlignment="1">
      <alignment wrapText="1"/>
      <protection/>
    </xf>
    <xf numFmtId="0" fontId="2" fillId="33" borderId="12" xfId="69" applyFill="1" applyBorder="1">
      <alignment/>
      <protection/>
    </xf>
    <xf numFmtId="0" fontId="2" fillId="33" borderId="13" xfId="69" applyFill="1" applyBorder="1">
      <alignment/>
      <protection/>
    </xf>
    <xf numFmtId="0" fontId="2" fillId="33" borderId="14" xfId="69" applyFill="1" applyBorder="1">
      <alignment/>
      <protection/>
    </xf>
    <xf numFmtId="3" fontId="9" fillId="34" borderId="11" xfId="69" applyNumberFormat="1" applyFont="1" applyFill="1" applyBorder="1">
      <alignment/>
      <protection/>
    </xf>
    <xf numFmtId="3" fontId="2" fillId="0" borderId="11" xfId="69" applyNumberFormat="1" applyBorder="1">
      <alignment/>
      <protection/>
    </xf>
    <xf numFmtId="3" fontId="9" fillId="34" borderId="11" xfId="69" applyNumberFormat="1" applyFont="1" applyFill="1" applyBorder="1" applyAlignment="1">
      <alignment horizontal="right" vertical="center" wrapText="1"/>
      <protection/>
    </xf>
    <xf numFmtId="3" fontId="9" fillId="35" borderId="11" xfId="69" applyNumberFormat="1" applyFont="1" applyFill="1" applyBorder="1">
      <alignment/>
      <protection/>
    </xf>
    <xf numFmtId="0" fontId="9" fillId="35" borderId="11" xfId="69" applyFont="1" applyFill="1" applyBorder="1" applyAlignment="1">
      <alignment horizontal="center" wrapText="1"/>
      <protection/>
    </xf>
    <xf numFmtId="3" fontId="2" fillId="0" borderId="11" xfId="69" applyNumberFormat="1" applyFont="1" applyFill="1" applyBorder="1">
      <alignment/>
      <protection/>
    </xf>
    <xf numFmtId="0" fontId="2" fillId="0" borderId="0" xfId="69" applyFont="1">
      <alignment/>
      <protection/>
    </xf>
    <xf numFmtId="0" fontId="10" fillId="33" borderId="15" xfId="69" applyFont="1" applyFill="1" applyBorder="1">
      <alignment/>
      <protection/>
    </xf>
    <xf numFmtId="0" fontId="2" fillId="33" borderId="10" xfId="69" applyFill="1" applyBorder="1">
      <alignment/>
      <protection/>
    </xf>
    <xf numFmtId="0" fontId="2" fillId="33" borderId="16" xfId="69" applyFill="1" applyBorder="1">
      <alignment/>
      <protection/>
    </xf>
    <xf numFmtId="3" fontId="10" fillId="34" borderId="11" xfId="69" applyNumberFormat="1" applyFont="1" applyFill="1" applyBorder="1">
      <alignment/>
      <protection/>
    </xf>
    <xf numFmtId="0" fontId="2" fillId="33" borderId="15" xfId="69" applyFill="1" applyBorder="1">
      <alignment/>
      <protection/>
    </xf>
    <xf numFmtId="0" fontId="2" fillId="0" borderId="0" xfId="69" applyFont="1" applyAlignment="1">
      <alignment horizontal="right" vertical="center"/>
      <protection/>
    </xf>
    <xf numFmtId="0" fontId="2" fillId="0" borderId="0" xfId="69" applyAlignment="1">
      <alignment vertical="center"/>
      <protection/>
    </xf>
    <xf numFmtId="0" fontId="2" fillId="0" borderId="17" xfId="69" applyFont="1" applyBorder="1" applyAlignment="1">
      <alignment vertical="center"/>
      <protection/>
    </xf>
    <xf numFmtId="0" fontId="9" fillId="0" borderId="18" xfId="69" applyFont="1" applyBorder="1" applyAlignment="1">
      <alignment horizontal="center"/>
      <protection/>
    </xf>
    <xf numFmtId="0" fontId="2" fillId="0" borderId="19" xfId="69" applyFont="1" applyBorder="1" applyAlignment="1">
      <alignment vertical="center"/>
      <protection/>
    </xf>
    <xf numFmtId="0" fontId="2" fillId="0" borderId="20" xfId="69" applyFont="1" applyBorder="1" applyAlignment="1">
      <alignment vertical="center"/>
      <protection/>
    </xf>
    <xf numFmtId="0" fontId="2" fillId="0" borderId="21" xfId="69" applyFont="1" applyBorder="1" applyAlignment="1">
      <alignment horizontal="right" vertical="center"/>
      <protection/>
    </xf>
    <xf numFmtId="0" fontId="9" fillId="0" borderId="22" xfId="69" applyFont="1" applyBorder="1" applyAlignment="1">
      <alignment horizontal="left" vertical="center"/>
      <protection/>
    </xf>
    <xf numFmtId="164" fontId="9" fillId="0" borderId="23" xfId="69" applyNumberFormat="1" applyFont="1" applyBorder="1" applyAlignment="1">
      <alignment vertical="center"/>
      <protection/>
    </xf>
    <xf numFmtId="0" fontId="9" fillId="0" borderId="0" xfId="69" applyFont="1" applyAlignment="1">
      <alignment vertical="center"/>
      <protection/>
    </xf>
    <xf numFmtId="0" fontId="2" fillId="0" borderId="24" xfId="69" applyFont="1" applyBorder="1" applyAlignment="1">
      <alignment horizontal="right" vertical="center"/>
      <protection/>
    </xf>
    <xf numFmtId="0" fontId="2" fillId="0" borderId="16" xfId="69" applyFont="1" applyBorder="1" applyAlignment="1" quotePrefix="1">
      <alignment horizontal="center" vertical="center"/>
      <protection/>
    </xf>
    <xf numFmtId="0" fontId="2" fillId="0" borderId="15" xfId="69" applyFont="1" applyBorder="1" applyAlignment="1">
      <alignment vertical="center"/>
      <protection/>
    </xf>
    <xf numFmtId="164" fontId="2" fillId="0" borderId="25" xfId="44" applyNumberFormat="1" applyFont="1" applyBorder="1" applyAlignment="1">
      <alignment vertical="center"/>
    </xf>
    <xf numFmtId="164" fontId="9" fillId="0" borderId="25" xfId="69" applyNumberFormat="1" applyFont="1" applyBorder="1" applyAlignment="1">
      <alignment vertical="center"/>
      <protection/>
    </xf>
    <xf numFmtId="0" fontId="2" fillId="0" borderId="15" xfId="69" applyFont="1" applyBorder="1" applyAlignment="1">
      <alignment vertical="center" wrapText="1"/>
      <protection/>
    </xf>
    <xf numFmtId="0" fontId="12" fillId="0" borderId="0" xfId="69" applyFont="1" applyAlignment="1">
      <alignment vertical="center"/>
      <protection/>
    </xf>
    <xf numFmtId="0" fontId="2" fillId="0" borderId="12" xfId="69" applyFont="1" applyBorder="1" applyAlignment="1">
      <alignment vertical="center" wrapText="1"/>
      <protection/>
    </xf>
    <xf numFmtId="164" fontId="2" fillId="0" borderId="26" xfId="44" applyNumberFormat="1" applyFont="1" applyBorder="1" applyAlignment="1">
      <alignment vertical="center"/>
    </xf>
    <xf numFmtId="0" fontId="13" fillId="34" borderId="27" xfId="69" applyFont="1" applyFill="1" applyBorder="1" applyAlignment="1">
      <alignment vertical="center"/>
      <protection/>
    </xf>
    <xf numFmtId="0" fontId="11" fillId="34" borderId="28" xfId="69" applyFont="1" applyFill="1" applyBorder="1" applyAlignment="1">
      <alignment vertical="center"/>
      <protection/>
    </xf>
    <xf numFmtId="164" fontId="11" fillId="34" borderId="29" xfId="69" applyNumberFormat="1" applyFont="1" applyFill="1" applyBorder="1" applyAlignment="1">
      <alignment vertical="center"/>
      <protection/>
    </xf>
    <xf numFmtId="0" fontId="2" fillId="0" borderId="0" xfId="69" applyBorder="1" applyAlignment="1">
      <alignment vertical="center"/>
      <protection/>
    </xf>
    <xf numFmtId="0" fontId="13" fillId="34" borderId="30" xfId="69" applyFont="1" applyFill="1" applyBorder="1" applyAlignment="1">
      <alignment vertical="center"/>
      <protection/>
    </xf>
    <xf numFmtId="0" fontId="11" fillId="34" borderId="31" xfId="69" applyFont="1" applyFill="1" applyBorder="1" applyAlignment="1">
      <alignment vertical="center"/>
      <protection/>
    </xf>
    <xf numFmtId="164" fontId="11" fillId="34" borderId="18" xfId="69" applyNumberFormat="1" applyFont="1" applyFill="1" applyBorder="1" applyAlignment="1">
      <alignment vertical="center"/>
      <protection/>
    </xf>
    <xf numFmtId="0" fontId="2" fillId="0" borderId="32" xfId="69" applyFont="1" applyBorder="1" applyAlignment="1">
      <alignment horizontal="right" vertical="center"/>
      <protection/>
    </xf>
    <xf numFmtId="0" fontId="11" fillId="34" borderId="30" xfId="69" applyFont="1" applyFill="1" applyBorder="1" applyAlignment="1">
      <alignment vertical="center"/>
      <protection/>
    </xf>
    <xf numFmtId="0" fontId="12" fillId="0" borderId="0" xfId="74" applyFont="1" applyBorder="1" applyAlignment="1" quotePrefix="1">
      <alignment vertical="center"/>
      <protection/>
    </xf>
    <xf numFmtId="3" fontId="12" fillId="0" borderId="0" xfId="69" applyNumberFormat="1" applyFont="1" applyAlignment="1">
      <alignment vertical="center"/>
      <protection/>
    </xf>
    <xf numFmtId="3" fontId="2" fillId="0" borderId="0" xfId="69" applyNumberFormat="1" applyAlignment="1">
      <alignment vertical="center"/>
      <protection/>
    </xf>
    <xf numFmtId="0" fontId="13" fillId="0" borderId="33" xfId="0" applyFont="1" applyBorder="1" applyAlignment="1">
      <alignment vertical="center"/>
    </xf>
    <xf numFmtId="0" fontId="11" fillId="0" borderId="0" xfId="0" applyFont="1" applyBorder="1" applyAlignment="1">
      <alignment horizontal="center" vertical="center"/>
    </xf>
    <xf numFmtId="0" fontId="13" fillId="0" borderId="22" xfId="0" applyFont="1" applyBorder="1" applyAlignment="1">
      <alignment vertical="center"/>
    </xf>
    <xf numFmtId="0" fontId="13" fillId="0" borderId="0" xfId="0" applyFont="1" applyAlignment="1">
      <alignment vertical="center"/>
    </xf>
    <xf numFmtId="3" fontId="9" fillId="0" borderId="34" xfId="0" applyNumberFormat="1" applyFont="1" applyFill="1" applyBorder="1" applyAlignment="1">
      <alignment horizontal="center" vertical="center" wrapText="1"/>
    </xf>
    <xf numFmtId="3" fontId="11" fillId="0" borderId="24" xfId="0" applyNumberFormat="1" applyFont="1" applyBorder="1" applyAlignment="1">
      <alignment/>
    </xf>
    <xf numFmtId="3" fontId="11" fillId="0" borderId="35" xfId="0" applyNumberFormat="1" applyFont="1" applyBorder="1" applyAlignment="1">
      <alignment/>
    </xf>
    <xf numFmtId="0" fontId="69" fillId="0" borderId="0" xfId="0" applyFont="1" applyAlignment="1">
      <alignment horizontal="right"/>
    </xf>
    <xf numFmtId="0" fontId="70" fillId="0" borderId="0" xfId="0" applyFont="1" applyAlignment="1">
      <alignment/>
    </xf>
    <xf numFmtId="0" fontId="71" fillId="0" borderId="0" xfId="0" applyFont="1" applyAlignment="1">
      <alignment/>
    </xf>
    <xf numFmtId="0" fontId="71" fillId="0" borderId="10" xfId="0" applyFont="1" applyBorder="1" applyAlignment="1">
      <alignment/>
    </xf>
    <xf numFmtId="0" fontId="72" fillId="0" borderId="34" xfId="0" applyFont="1" applyBorder="1" applyAlignment="1">
      <alignment horizontal="right"/>
    </xf>
    <xf numFmtId="0" fontId="72" fillId="0" borderId="0" xfId="0" applyFont="1" applyAlignment="1">
      <alignment/>
    </xf>
    <xf numFmtId="0" fontId="72" fillId="0" borderId="34" xfId="0" applyFont="1" applyBorder="1" applyAlignment="1">
      <alignment horizontal="center"/>
    </xf>
    <xf numFmtId="0" fontId="72" fillId="0" borderId="0" xfId="0" applyFont="1" applyAlignment="1">
      <alignment horizontal="right"/>
    </xf>
    <xf numFmtId="0" fontId="2" fillId="0" borderId="0" xfId="69" applyAlignment="1">
      <alignment horizontal="right" vertical="center"/>
      <protection/>
    </xf>
    <xf numFmtId="0" fontId="2" fillId="0" borderId="0" xfId="69" applyFont="1" applyAlignment="1">
      <alignment horizontal="right"/>
      <protection/>
    </xf>
    <xf numFmtId="0" fontId="10" fillId="0" borderId="0" xfId="69" applyFont="1" applyAlignment="1">
      <alignment horizontal="center"/>
      <protection/>
    </xf>
    <xf numFmtId="0" fontId="10" fillId="0" borderId="0" xfId="69" applyFont="1" applyAlignment="1">
      <alignment horizontal="center" vertical="center"/>
      <protection/>
    </xf>
    <xf numFmtId="0" fontId="2" fillId="0" borderId="0" xfId="69" applyFont="1" applyBorder="1" applyAlignment="1">
      <alignment horizontal="right" vertical="center"/>
      <protection/>
    </xf>
    <xf numFmtId="0" fontId="2" fillId="0" borderId="34" xfId="69" applyFont="1" applyBorder="1" applyAlignment="1">
      <alignment horizontal="right" vertical="center"/>
      <protection/>
    </xf>
    <xf numFmtId="0" fontId="10" fillId="0" borderId="0" xfId="69" applyFont="1" applyAlignment="1">
      <alignment horizontal="right"/>
      <protection/>
    </xf>
    <xf numFmtId="0" fontId="2" fillId="0" borderId="11" xfId="69" applyBorder="1" applyAlignment="1">
      <alignment horizontal="right"/>
      <protection/>
    </xf>
    <xf numFmtId="0" fontId="2" fillId="0" borderId="11" xfId="69" applyFont="1" applyBorder="1" applyAlignment="1" quotePrefix="1">
      <alignment horizontal="center" vertical="center"/>
      <protection/>
    </xf>
    <xf numFmtId="0" fontId="2" fillId="0" borderId="11" xfId="69" applyFont="1" applyBorder="1" applyAlignment="1">
      <alignment vertical="center"/>
      <protection/>
    </xf>
    <xf numFmtId="0" fontId="9" fillId="0" borderId="11" xfId="69" applyFont="1" applyBorder="1" applyAlignment="1">
      <alignment horizontal="center"/>
      <protection/>
    </xf>
    <xf numFmtId="0" fontId="9" fillId="33" borderId="16" xfId="69" applyFont="1" applyFill="1" applyBorder="1" applyAlignment="1">
      <alignment horizontal="center" vertical="center" wrapText="1"/>
      <protection/>
    </xf>
    <xf numFmtId="0" fontId="2" fillId="0" borderId="10" xfId="69" applyFont="1" applyBorder="1" applyAlignment="1">
      <alignment vertical="center"/>
      <protection/>
    </xf>
    <xf numFmtId="0" fontId="2" fillId="0" borderId="36" xfId="69" applyFont="1" applyBorder="1" applyAlignment="1" quotePrefix="1">
      <alignment horizontal="center" vertical="center"/>
      <protection/>
    </xf>
    <xf numFmtId="0" fontId="2" fillId="0" borderId="22" xfId="69" applyBorder="1" applyAlignment="1">
      <alignment/>
      <protection/>
    </xf>
    <xf numFmtId="0" fontId="2" fillId="0" borderId="22" xfId="69" applyBorder="1" applyAlignment="1">
      <alignment horizontal="right"/>
      <protection/>
    </xf>
    <xf numFmtId="0" fontId="9" fillId="0" borderId="14" xfId="69" applyFont="1" applyBorder="1" applyAlignment="1">
      <alignment horizontal="center"/>
      <protection/>
    </xf>
    <xf numFmtId="0" fontId="2" fillId="33" borderId="37" xfId="69" applyFill="1" applyBorder="1" applyAlignment="1">
      <alignment wrapText="1"/>
      <protection/>
    </xf>
    <xf numFmtId="0" fontId="2" fillId="33" borderId="0" xfId="69" applyFill="1" applyBorder="1" applyAlignment="1">
      <alignment wrapText="1"/>
      <protection/>
    </xf>
    <xf numFmtId="0" fontId="2" fillId="33" borderId="38" xfId="69" applyFill="1" applyBorder="1" applyAlignment="1">
      <alignment wrapText="1"/>
      <protection/>
    </xf>
    <xf numFmtId="0" fontId="9" fillId="33" borderId="39" xfId="69" applyFont="1" applyFill="1" applyBorder="1" applyAlignment="1">
      <alignment horizontal="center" vertical="center" wrapText="1"/>
      <protection/>
    </xf>
    <xf numFmtId="0" fontId="70" fillId="0" borderId="34" xfId="0" applyFont="1" applyBorder="1" applyAlignment="1">
      <alignment/>
    </xf>
    <xf numFmtId="3" fontId="73" fillId="12" borderId="34" xfId="0" applyNumberFormat="1" applyFont="1" applyFill="1" applyBorder="1" applyAlignment="1">
      <alignment vertical="center"/>
    </xf>
    <xf numFmtId="0" fontId="70" fillId="0" borderId="34" xfId="0" applyFont="1" applyBorder="1" applyAlignment="1">
      <alignment/>
    </xf>
    <xf numFmtId="3" fontId="70" fillId="0" borderId="34" xfId="0" applyNumberFormat="1" applyFont="1" applyBorder="1" applyAlignment="1">
      <alignment/>
    </xf>
    <xf numFmtId="0" fontId="2" fillId="0" borderId="10" xfId="69" applyFont="1" applyBorder="1" applyAlignment="1">
      <alignment vertical="center" wrapText="1"/>
      <protection/>
    </xf>
    <xf numFmtId="0" fontId="16" fillId="0" borderId="33" xfId="0" applyFont="1" applyBorder="1" applyAlignment="1">
      <alignment vertical="center"/>
    </xf>
    <xf numFmtId="0" fontId="17" fillId="0" borderId="0" xfId="0" applyFont="1" applyBorder="1" applyAlignment="1">
      <alignment horizontal="center" vertical="center"/>
    </xf>
    <xf numFmtId="0" fontId="16" fillId="0" borderId="0" xfId="0" applyFont="1" applyAlignment="1">
      <alignment vertical="center"/>
    </xf>
    <xf numFmtId="0" fontId="17" fillId="0" borderId="10" xfId="0" applyFont="1" applyBorder="1" applyAlignment="1">
      <alignment vertical="center"/>
    </xf>
    <xf numFmtId="0" fontId="16" fillId="0" borderId="10" xfId="0" applyFont="1" applyBorder="1" applyAlignment="1">
      <alignment vertical="center"/>
    </xf>
    <xf numFmtId="3" fontId="17" fillId="0" borderId="24" xfId="0" applyNumberFormat="1" applyFont="1" applyBorder="1" applyAlignment="1">
      <alignment vertical="center"/>
    </xf>
    <xf numFmtId="3" fontId="17" fillId="0" borderId="25" xfId="0" applyNumberFormat="1" applyFont="1" applyBorder="1" applyAlignment="1">
      <alignment vertical="center"/>
    </xf>
    <xf numFmtId="0" fontId="71" fillId="0" borderId="13" xfId="0" applyFont="1" applyBorder="1" applyAlignment="1">
      <alignment/>
    </xf>
    <xf numFmtId="3" fontId="17" fillId="0" borderId="24" xfId="0" applyNumberFormat="1" applyFont="1" applyBorder="1" applyAlignment="1">
      <alignment/>
    </xf>
    <xf numFmtId="3" fontId="17" fillId="0" borderId="35" xfId="0" applyNumberFormat="1" applyFont="1" applyBorder="1" applyAlignment="1">
      <alignment/>
    </xf>
    <xf numFmtId="0" fontId="2" fillId="0" borderId="0" xfId="73" applyBorder="1">
      <alignment/>
      <protection/>
    </xf>
    <xf numFmtId="3" fontId="11" fillId="0" borderId="34" xfId="0" applyNumberFormat="1" applyFont="1" applyFill="1" applyBorder="1" applyAlignment="1">
      <alignment horizontal="center" vertical="center" wrapText="1"/>
    </xf>
    <xf numFmtId="0" fontId="17" fillId="0" borderId="13" xfId="0" applyFont="1" applyBorder="1" applyAlignment="1">
      <alignment horizontal="center" vertical="center"/>
    </xf>
    <xf numFmtId="0" fontId="17" fillId="0" borderId="22" xfId="0" applyFont="1" applyBorder="1" applyAlignment="1">
      <alignment vertical="center"/>
    </xf>
    <xf numFmtId="3" fontId="17" fillId="0" borderId="21" xfId="0" applyNumberFormat="1" applyFont="1" applyBorder="1" applyAlignment="1">
      <alignment vertical="center"/>
    </xf>
    <xf numFmtId="0" fontId="17" fillId="0" borderId="33" xfId="0" applyFont="1" applyBorder="1" applyAlignment="1">
      <alignment vertical="center"/>
    </xf>
    <xf numFmtId="0" fontId="17" fillId="0" borderId="0" xfId="0" applyFont="1" applyAlignment="1">
      <alignment vertical="center"/>
    </xf>
    <xf numFmtId="0" fontId="17" fillId="0" borderId="22"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quotePrefix="1">
      <alignment horizontal="center" vertical="center"/>
    </xf>
    <xf numFmtId="0" fontId="17" fillId="0" borderId="22" xfId="0" applyFont="1" applyBorder="1" applyAlignment="1" quotePrefix="1">
      <alignment vertical="center"/>
    </xf>
    <xf numFmtId="0" fontId="16" fillId="0" borderId="0" xfId="0" applyFont="1" applyBorder="1" applyAlignment="1">
      <alignment vertical="center"/>
    </xf>
    <xf numFmtId="0" fontId="16" fillId="0" borderId="10" xfId="0" applyFont="1" applyBorder="1" applyAlignment="1" quotePrefix="1">
      <alignment horizontal="center" vertical="center"/>
    </xf>
    <xf numFmtId="0" fontId="17"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7" fillId="0" borderId="33" xfId="0" applyFont="1" applyBorder="1" applyAlignment="1">
      <alignment/>
    </xf>
    <xf numFmtId="0" fontId="17" fillId="0" borderId="0" xfId="0" applyFont="1" applyBorder="1" applyAlignment="1">
      <alignment/>
    </xf>
    <xf numFmtId="0" fontId="17" fillId="0" borderId="10" xfId="0" applyFont="1" applyBorder="1" applyAlignment="1">
      <alignment horizontal="center"/>
    </xf>
    <xf numFmtId="0" fontId="17" fillId="0" borderId="10" xfId="0" applyFont="1" applyBorder="1" applyAlignment="1">
      <alignment/>
    </xf>
    <xf numFmtId="0" fontId="17" fillId="0" borderId="40" xfId="0" applyFont="1" applyBorder="1" applyAlignment="1">
      <alignment/>
    </xf>
    <xf numFmtId="0" fontId="17" fillId="0" borderId="13" xfId="0" applyFont="1" applyBorder="1" applyAlignment="1">
      <alignment/>
    </xf>
    <xf numFmtId="0" fontId="17" fillId="0" borderId="44" xfId="0" applyFont="1" applyBorder="1" applyAlignment="1">
      <alignment/>
    </xf>
    <xf numFmtId="0" fontId="17" fillId="0" borderId="0" xfId="0" applyFont="1" applyBorder="1" applyAlignment="1">
      <alignment horizontal="center"/>
    </xf>
    <xf numFmtId="0" fontId="17" fillId="0" borderId="10" xfId="0" applyFont="1" applyBorder="1" applyAlignment="1" quotePrefix="1">
      <alignment horizontal="center" vertical="center"/>
    </xf>
    <xf numFmtId="0" fontId="10" fillId="36" borderId="41" xfId="0" applyFont="1" applyFill="1" applyBorder="1" applyAlignment="1">
      <alignment horizontal="center" vertical="center"/>
    </xf>
    <xf numFmtId="0" fontId="10" fillId="36" borderId="42" xfId="0" applyFont="1" applyFill="1" applyBorder="1" applyAlignment="1">
      <alignment vertical="center"/>
    </xf>
    <xf numFmtId="0" fontId="8" fillId="36" borderId="42" xfId="0" applyFont="1" applyFill="1" applyBorder="1" applyAlignment="1">
      <alignment vertical="center"/>
    </xf>
    <xf numFmtId="3" fontId="10" fillId="36" borderId="34" xfId="0" applyNumberFormat="1" applyFont="1" applyFill="1" applyBorder="1" applyAlignment="1">
      <alignment vertical="center"/>
    </xf>
    <xf numFmtId="0" fontId="8" fillId="0" borderId="0" xfId="0" applyFont="1" applyAlignment="1">
      <alignment vertical="center"/>
    </xf>
    <xf numFmtId="0" fontId="8" fillId="0" borderId="33" xfId="0" applyFont="1" applyBorder="1" applyAlignment="1">
      <alignment vertical="center"/>
    </xf>
    <xf numFmtId="0" fontId="10" fillId="0" borderId="0" xfId="0" applyFont="1" applyBorder="1" applyAlignment="1">
      <alignment horizontal="center" vertical="center"/>
    </xf>
    <xf numFmtId="0" fontId="10" fillId="0" borderId="22" xfId="0" applyFont="1" applyBorder="1" applyAlignment="1">
      <alignment vertical="center"/>
    </xf>
    <xf numFmtId="0" fontId="8" fillId="0" borderId="22" xfId="0" applyFont="1" applyBorder="1" applyAlignment="1">
      <alignment vertical="center"/>
    </xf>
    <xf numFmtId="3" fontId="10" fillId="0" borderId="21" xfId="0" applyNumberFormat="1"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3" fontId="10" fillId="0" borderId="24" xfId="0" applyNumberFormat="1" applyFont="1" applyBorder="1" applyAlignment="1">
      <alignment vertical="center"/>
    </xf>
    <xf numFmtId="0" fontId="10" fillId="0" borderId="0" xfId="0" applyFont="1" applyBorder="1" applyAlignment="1">
      <alignment horizontal="right" vertical="center"/>
    </xf>
    <xf numFmtId="0" fontId="10" fillId="0" borderId="22" xfId="0" applyFont="1" applyBorder="1" applyAlignment="1">
      <alignment horizontal="left" vertical="center"/>
    </xf>
    <xf numFmtId="0" fontId="10" fillId="0" borderId="10" xfId="0" applyFont="1" applyBorder="1" applyAlignment="1">
      <alignment horizontal="left" vertical="center"/>
    </xf>
    <xf numFmtId="0" fontId="8" fillId="0" borderId="10" xfId="0" applyFont="1" applyBorder="1" applyAlignment="1" quotePrefix="1">
      <alignment horizontal="center" vertical="center"/>
    </xf>
    <xf numFmtId="3" fontId="10" fillId="34" borderId="34" xfId="0" applyNumberFormat="1" applyFont="1" applyFill="1" applyBorder="1" applyAlignment="1">
      <alignment vertical="center"/>
    </xf>
    <xf numFmtId="0" fontId="10" fillId="0" borderId="33" xfId="0" applyFont="1" applyBorder="1" applyAlignment="1">
      <alignment vertical="center"/>
    </xf>
    <xf numFmtId="0" fontId="10" fillId="0" borderId="0" xfId="0" applyFont="1" applyAlignment="1">
      <alignment vertical="center"/>
    </xf>
    <xf numFmtId="0" fontId="74" fillId="0" borderId="0" xfId="0" applyFont="1" applyAlignment="1">
      <alignment/>
    </xf>
    <xf numFmtId="0" fontId="10" fillId="36" borderId="41" xfId="0" applyFont="1" applyFill="1" applyBorder="1" applyAlignment="1">
      <alignment horizontal="left" vertical="center"/>
    </xf>
    <xf numFmtId="0" fontId="10" fillId="36" borderId="42" xfId="0" applyFont="1" applyFill="1" applyBorder="1" applyAlignment="1">
      <alignment horizontal="left" vertical="center"/>
    </xf>
    <xf numFmtId="0" fontId="10" fillId="36" borderId="42" xfId="0" applyFont="1" applyFill="1" applyBorder="1" applyAlignment="1">
      <alignment vertical="center" wrapText="1"/>
    </xf>
    <xf numFmtId="0" fontId="10" fillId="36" borderId="41" xfId="0" applyFont="1" applyFill="1" applyBorder="1" applyAlignment="1">
      <alignment horizontal="center"/>
    </xf>
    <xf numFmtId="0" fontId="10" fillId="36" borderId="42" xfId="0" applyFont="1" applyFill="1" applyBorder="1" applyAlignment="1">
      <alignment/>
    </xf>
    <xf numFmtId="3" fontId="10" fillId="36" borderId="34" xfId="0" applyNumberFormat="1" applyFont="1" applyFill="1" applyBorder="1" applyAlignment="1">
      <alignment/>
    </xf>
    <xf numFmtId="0" fontId="75" fillId="0" borderId="0" xfId="0" applyFont="1" applyAlignment="1">
      <alignment/>
    </xf>
    <xf numFmtId="0" fontId="10" fillId="0" borderId="33" xfId="0" applyFont="1" applyBorder="1" applyAlignment="1">
      <alignment/>
    </xf>
    <xf numFmtId="0" fontId="10" fillId="0" borderId="0" xfId="0" applyFont="1" applyBorder="1" applyAlignment="1">
      <alignment horizontal="center"/>
    </xf>
    <xf numFmtId="0" fontId="10" fillId="0" borderId="22" xfId="0" applyFont="1" applyBorder="1" applyAlignment="1">
      <alignment/>
    </xf>
    <xf numFmtId="0" fontId="10" fillId="0" borderId="45" xfId="0" applyFont="1" applyBorder="1" applyAlignment="1">
      <alignment/>
    </xf>
    <xf numFmtId="3" fontId="10" fillId="0" borderId="21" xfId="0" applyNumberFormat="1" applyFont="1" applyBorder="1" applyAlignment="1">
      <alignment/>
    </xf>
    <xf numFmtId="0" fontId="10" fillId="0" borderId="10" xfId="0" applyFont="1" applyBorder="1" applyAlignment="1">
      <alignment/>
    </xf>
    <xf numFmtId="0" fontId="75" fillId="0" borderId="10" xfId="0" applyFont="1" applyBorder="1" applyAlignment="1">
      <alignment/>
    </xf>
    <xf numFmtId="0" fontId="10" fillId="0" borderId="40" xfId="0" applyFont="1" applyBorder="1" applyAlignment="1">
      <alignment/>
    </xf>
    <xf numFmtId="3" fontId="10" fillId="0" borderId="24" xfId="0" applyNumberFormat="1" applyFont="1" applyBorder="1" applyAlignment="1">
      <alignment/>
    </xf>
    <xf numFmtId="0" fontId="10" fillId="0" borderId="13" xfId="0" applyFont="1" applyBorder="1" applyAlignment="1">
      <alignment/>
    </xf>
    <xf numFmtId="0" fontId="75" fillId="0" borderId="13" xfId="0" applyFont="1" applyBorder="1" applyAlignment="1">
      <alignment/>
    </xf>
    <xf numFmtId="0" fontId="10" fillId="0" borderId="44" xfId="0" applyFont="1" applyBorder="1" applyAlignment="1">
      <alignment/>
    </xf>
    <xf numFmtId="0" fontId="75" fillId="36" borderId="42" xfId="0" applyFont="1" applyFill="1" applyBorder="1" applyAlignment="1">
      <alignment/>
    </xf>
    <xf numFmtId="0" fontId="10" fillId="34" borderId="42" xfId="0" applyFont="1" applyFill="1" applyBorder="1" applyAlignment="1">
      <alignment/>
    </xf>
    <xf numFmtId="0" fontId="8" fillId="34" borderId="42" xfId="0" applyFont="1" applyFill="1" applyBorder="1" applyAlignment="1">
      <alignment/>
    </xf>
    <xf numFmtId="16" fontId="10" fillId="0" borderId="0" xfId="0" applyNumberFormat="1" applyFont="1" applyBorder="1" applyAlignment="1">
      <alignment horizontal="center"/>
    </xf>
    <xf numFmtId="0" fontId="10" fillId="0" borderId="46" xfId="0" applyFont="1" applyBorder="1" applyAlignment="1">
      <alignment/>
    </xf>
    <xf numFmtId="0" fontId="10" fillId="0" borderId="47" xfId="0" applyFont="1" applyBorder="1" applyAlignment="1">
      <alignment/>
    </xf>
    <xf numFmtId="0" fontId="10" fillId="36" borderId="43" xfId="0" applyFont="1" applyFill="1" applyBorder="1" applyAlignment="1">
      <alignment/>
    </xf>
    <xf numFmtId="0" fontId="10" fillId="34" borderId="48" xfId="0" applyFont="1" applyFill="1" applyBorder="1" applyAlignment="1">
      <alignment horizontal="left" vertical="center"/>
    </xf>
    <xf numFmtId="0" fontId="10" fillId="34" borderId="49" xfId="0" applyFont="1" applyFill="1" applyBorder="1" applyAlignment="1">
      <alignment/>
    </xf>
    <xf numFmtId="0" fontId="8" fillId="34" borderId="49" xfId="0" applyFont="1" applyFill="1" applyBorder="1" applyAlignment="1">
      <alignment/>
    </xf>
    <xf numFmtId="3" fontId="10" fillId="34" borderId="20" xfId="0" applyNumberFormat="1" applyFont="1" applyFill="1" applyBorder="1" applyAlignment="1">
      <alignment vertical="center"/>
    </xf>
    <xf numFmtId="3" fontId="17" fillId="0" borderId="23" xfId="0" applyNumberFormat="1" applyFont="1" applyBorder="1" applyAlignment="1">
      <alignment vertical="center"/>
    </xf>
    <xf numFmtId="3" fontId="10" fillId="36" borderId="18" xfId="0" applyNumberFormat="1" applyFont="1" applyFill="1" applyBorder="1" applyAlignment="1">
      <alignment vertical="center"/>
    </xf>
    <xf numFmtId="3" fontId="10" fillId="0" borderId="23" xfId="0" applyNumberFormat="1" applyFont="1" applyBorder="1" applyAlignment="1">
      <alignment vertical="center"/>
    </xf>
    <xf numFmtId="3" fontId="10" fillId="34" borderId="18" xfId="0" applyNumberFormat="1" applyFont="1" applyFill="1" applyBorder="1" applyAlignment="1">
      <alignment vertical="center"/>
    </xf>
    <xf numFmtId="3" fontId="10" fillId="0" borderId="25" xfId="0" applyNumberFormat="1" applyFont="1" applyBorder="1" applyAlignment="1">
      <alignment vertical="center"/>
    </xf>
    <xf numFmtId="0" fontId="10" fillId="34" borderId="42" xfId="0" applyFont="1" applyFill="1" applyBorder="1" applyAlignment="1">
      <alignment vertical="center"/>
    </xf>
    <xf numFmtId="3" fontId="10" fillId="0" borderId="35" xfId="0" applyNumberFormat="1" applyFont="1" applyBorder="1" applyAlignment="1">
      <alignment/>
    </xf>
    <xf numFmtId="0" fontId="10" fillId="12" borderId="33"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22" xfId="0" applyFont="1" applyFill="1" applyBorder="1" applyAlignment="1">
      <alignment vertical="center"/>
    </xf>
    <xf numFmtId="0" fontId="8" fillId="12" borderId="22" xfId="0" applyFont="1" applyFill="1" applyBorder="1" applyAlignment="1">
      <alignment vertical="center"/>
    </xf>
    <xf numFmtId="3" fontId="10" fillId="12" borderId="21" xfId="0" applyNumberFormat="1" applyFont="1" applyFill="1" applyBorder="1" applyAlignment="1">
      <alignment vertical="center"/>
    </xf>
    <xf numFmtId="3" fontId="10" fillId="12" borderId="23" xfId="0" applyNumberFormat="1" applyFont="1" applyFill="1" applyBorder="1" applyAlignment="1">
      <alignment vertical="center"/>
    </xf>
    <xf numFmtId="3" fontId="10" fillId="0" borderId="50" xfId="0" applyNumberFormat="1" applyFont="1" applyBorder="1" applyAlignment="1">
      <alignment/>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10" fillId="12" borderId="42" xfId="0" applyFont="1" applyFill="1" applyBorder="1" applyAlignment="1">
      <alignment vertical="center"/>
    </xf>
    <xf numFmtId="0" fontId="8" fillId="12" borderId="42" xfId="0" applyFont="1" applyFill="1" applyBorder="1" applyAlignment="1">
      <alignment vertical="center"/>
    </xf>
    <xf numFmtId="3" fontId="10" fillId="12" borderId="34" xfId="0" applyNumberFormat="1" applyFont="1" applyFill="1" applyBorder="1" applyAlignment="1">
      <alignment vertical="center"/>
    </xf>
    <xf numFmtId="3" fontId="10" fillId="12" borderId="18" xfId="0" applyNumberFormat="1" applyFont="1" applyFill="1" applyBorder="1" applyAlignment="1">
      <alignment vertical="center"/>
    </xf>
    <xf numFmtId="3" fontId="75" fillId="12" borderId="34" xfId="0" applyNumberFormat="1" applyFont="1" applyFill="1" applyBorder="1" applyAlignment="1">
      <alignment vertical="center"/>
    </xf>
    <xf numFmtId="0" fontId="8" fillId="0" borderId="10" xfId="73" applyFont="1" applyBorder="1" applyAlignment="1" quotePrefix="1">
      <alignment horizontal="left" vertical="center" indent="1"/>
      <protection/>
    </xf>
    <xf numFmtId="0" fontId="14" fillId="37" borderId="43" xfId="0" applyFont="1" applyFill="1" applyBorder="1" applyAlignment="1">
      <alignment horizontal="center" vertical="center"/>
    </xf>
    <xf numFmtId="3" fontId="10" fillId="36" borderId="43" xfId="0" applyNumberFormat="1" applyFont="1" applyFill="1" applyBorder="1" applyAlignment="1">
      <alignment vertical="center"/>
    </xf>
    <xf numFmtId="3" fontId="10" fillId="0" borderId="40" xfId="0" applyNumberFormat="1" applyFont="1" applyBorder="1" applyAlignment="1">
      <alignment vertical="center"/>
    </xf>
    <xf numFmtId="3" fontId="17" fillId="0" borderId="45" xfId="0" applyNumberFormat="1" applyFont="1" applyBorder="1" applyAlignment="1">
      <alignment vertical="center"/>
    </xf>
    <xf numFmtId="3" fontId="10" fillId="0" borderId="45" xfId="0" applyNumberFormat="1" applyFont="1" applyBorder="1" applyAlignment="1">
      <alignment vertical="center"/>
    </xf>
    <xf numFmtId="3" fontId="17" fillId="0" borderId="40" xfId="0" applyNumberFormat="1" applyFont="1" applyBorder="1" applyAlignment="1">
      <alignment vertical="center"/>
    </xf>
    <xf numFmtId="3" fontId="10" fillId="34" borderId="43" xfId="0" applyNumberFormat="1" applyFont="1" applyFill="1" applyBorder="1" applyAlignment="1">
      <alignment vertical="center"/>
    </xf>
    <xf numFmtId="3" fontId="10" fillId="12" borderId="45" xfId="0" applyNumberFormat="1" applyFont="1" applyFill="1" applyBorder="1" applyAlignment="1">
      <alignment vertical="center"/>
    </xf>
    <xf numFmtId="3" fontId="10" fillId="12" borderId="43" xfId="0" applyNumberFormat="1" applyFont="1" applyFill="1" applyBorder="1" applyAlignment="1">
      <alignment vertical="center"/>
    </xf>
    <xf numFmtId="0" fontId="8" fillId="36" borderId="43" xfId="0" applyFont="1" applyFill="1" applyBorder="1" applyAlignment="1">
      <alignment vertical="center"/>
    </xf>
    <xf numFmtId="0" fontId="8" fillId="0" borderId="40" xfId="0" applyFont="1" applyBorder="1" applyAlignment="1">
      <alignment vertical="center"/>
    </xf>
    <xf numFmtId="0" fontId="17" fillId="0" borderId="45" xfId="0" applyFont="1" applyBorder="1" applyAlignment="1">
      <alignment vertical="center"/>
    </xf>
    <xf numFmtId="0" fontId="8" fillId="0" borderId="45" xfId="0" applyFont="1" applyBorder="1" applyAlignment="1">
      <alignment vertical="center"/>
    </xf>
    <xf numFmtId="0" fontId="13" fillId="0" borderId="45" xfId="0" applyFont="1" applyBorder="1" applyAlignment="1">
      <alignment vertical="center"/>
    </xf>
    <xf numFmtId="0" fontId="16" fillId="0" borderId="40" xfId="0" applyFont="1" applyBorder="1" applyAlignment="1">
      <alignment vertical="center"/>
    </xf>
    <xf numFmtId="0" fontId="10" fillId="36" borderId="43" xfId="0" applyFont="1" applyFill="1" applyBorder="1" applyAlignment="1">
      <alignment vertical="center"/>
    </xf>
    <xf numFmtId="0" fontId="10" fillId="0" borderId="45" xfId="0" applyFont="1" applyBorder="1" applyAlignment="1">
      <alignment vertical="center"/>
    </xf>
    <xf numFmtId="0" fontId="8" fillId="12" borderId="45" xfId="0" applyFont="1" applyFill="1" applyBorder="1" applyAlignment="1">
      <alignment vertical="center"/>
    </xf>
    <xf numFmtId="0" fontId="10" fillId="36" borderId="43" xfId="0" applyFont="1" applyFill="1" applyBorder="1" applyAlignment="1">
      <alignment vertical="center" wrapText="1"/>
    </xf>
    <xf numFmtId="0" fontId="8" fillId="12" borderId="43" xfId="0" applyFont="1" applyFill="1" applyBorder="1" applyAlignment="1">
      <alignment vertical="center"/>
    </xf>
    <xf numFmtId="3" fontId="10" fillId="0" borderId="47" xfId="0" applyNumberFormat="1" applyFont="1" applyBorder="1" applyAlignment="1">
      <alignment/>
    </xf>
    <xf numFmtId="3" fontId="10" fillId="36" borderId="43" xfId="0" applyNumberFormat="1" applyFont="1" applyFill="1" applyBorder="1" applyAlignment="1">
      <alignment/>
    </xf>
    <xf numFmtId="3" fontId="10" fillId="34" borderId="51" xfId="0" applyNumberFormat="1" applyFont="1" applyFill="1" applyBorder="1" applyAlignment="1">
      <alignment vertical="center"/>
    </xf>
    <xf numFmtId="0" fontId="10" fillId="0" borderId="52" xfId="0" applyFont="1" applyBorder="1" applyAlignment="1">
      <alignment/>
    </xf>
    <xf numFmtId="16" fontId="10" fillId="0" borderId="53" xfId="0" applyNumberFormat="1" applyFont="1" applyBorder="1" applyAlignment="1">
      <alignment horizontal="center"/>
    </xf>
    <xf numFmtId="0" fontId="8" fillId="34" borderId="51" xfId="0" applyFont="1" applyFill="1" applyBorder="1" applyAlignment="1">
      <alignment/>
    </xf>
    <xf numFmtId="3" fontId="9" fillId="0" borderId="43" xfId="0" applyNumberFormat="1" applyFont="1" applyFill="1" applyBorder="1" applyAlignment="1">
      <alignment horizontal="center" vertical="center" wrapText="1"/>
    </xf>
    <xf numFmtId="0" fontId="14" fillId="37" borderId="0" xfId="0" applyFont="1" applyFill="1" applyBorder="1" applyAlignment="1">
      <alignment vertical="center"/>
    </xf>
    <xf numFmtId="0" fontId="73" fillId="0" borderId="34" xfId="0" applyFont="1" applyBorder="1" applyAlignment="1">
      <alignment horizontal="center"/>
    </xf>
    <xf numFmtId="3" fontId="11" fillId="36" borderId="43" xfId="0" applyNumberFormat="1" applyFont="1" applyFill="1" applyBorder="1" applyAlignment="1">
      <alignment vertical="center"/>
    </xf>
    <xf numFmtId="3" fontId="11" fillId="0" borderId="40" xfId="0" applyNumberFormat="1" applyFont="1" applyBorder="1" applyAlignment="1">
      <alignment vertical="center"/>
    </xf>
    <xf numFmtId="3" fontId="11" fillId="0" borderId="45" xfId="0" applyNumberFormat="1" applyFont="1" applyBorder="1" applyAlignment="1">
      <alignment vertical="center"/>
    </xf>
    <xf numFmtId="3" fontId="11" fillId="34" borderId="43" xfId="0" applyNumberFormat="1" applyFont="1" applyFill="1" applyBorder="1" applyAlignment="1">
      <alignment vertical="center"/>
    </xf>
    <xf numFmtId="3" fontId="11" fillId="12" borderId="45" xfId="0" applyNumberFormat="1" applyFont="1" applyFill="1" applyBorder="1" applyAlignment="1">
      <alignment vertical="center"/>
    </xf>
    <xf numFmtId="3" fontId="11" fillId="34" borderId="34" xfId="0" applyNumberFormat="1" applyFont="1" applyFill="1" applyBorder="1" applyAlignment="1">
      <alignment vertical="center"/>
    </xf>
    <xf numFmtId="3" fontId="11" fillId="36" borderId="34" xfId="0" applyNumberFormat="1" applyFont="1" applyFill="1" applyBorder="1" applyAlignment="1">
      <alignment/>
    </xf>
    <xf numFmtId="3" fontId="11" fillId="0" borderId="21" xfId="0" applyNumberFormat="1" applyFont="1" applyBorder="1" applyAlignment="1">
      <alignment/>
    </xf>
    <xf numFmtId="3" fontId="11" fillId="0" borderId="50" xfId="0" applyNumberFormat="1" applyFont="1" applyBorder="1" applyAlignment="1">
      <alignment/>
    </xf>
    <xf numFmtId="3" fontId="11" fillId="12" borderId="43" xfId="0" applyNumberFormat="1" applyFont="1" applyFill="1" applyBorder="1" applyAlignment="1">
      <alignment vertical="center"/>
    </xf>
    <xf numFmtId="3" fontId="11" fillId="34" borderId="20" xfId="0" applyNumberFormat="1" applyFont="1" applyFill="1" applyBorder="1" applyAlignment="1">
      <alignment vertical="center"/>
    </xf>
    <xf numFmtId="0" fontId="72" fillId="0" borderId="43" xfId="0" applyFont="1" applyBorder="1" applyAlignment="1">
      <alignment horizontal="center"/>
    </xf>
    <xf numFmtId="0" fontId="14" fillId="37" borderId="42" xfId="0"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51" xfId="0" applyNumberFormat="1" applyFont="1" applyFill="1" applyBorder="1" applyAlignment="1">
      <alignment horizontal="center" vertical="center" wrapText="1"/>
    </xf>
    <xf numFmtId="3" fontId="11" fillId="0" borderId="43" xfId="0" applyNumberFormat="1" applyFont="1" applyFill="1" applyBorder="1" applyAlignment="1">
      <alignment horizontal="center" vertical="center" wrapText="1"/>
    </xf>
    <xf numFmtId="0" fontId="2" fillId="0" borderId="35" xfId="69" applyFont="1" applyBorder="1" applyAlignment="1">
      <alignment horizontal="right" vertical="center"/>
      <protection/>
    </xf>
    <xf numFmtId="3" fontId="9" fillId="0" borderId="34" xfId="0" applyNumberFormat="1" applyFont="1" applyFill="1" applyBorder="1" applyAlignment="1" quotePrefix="1">
      <alignment horizontal="center" vertical="center" wrapText="1"/>
    </xf>
    <xf numFmtId="3" fontId="11" fillId="0" borderId="49" xfId="0" applyNumberFormat="1" applyFont="1" applyFill="1" applyBorder="1" applyAlignment="1">
      <alignment horizontal="center" vertical="center" wrapText="1"/>
    </xf>
    <xf numFmtId="3" fontId="17" fillId="0" borderId="40" xfId="0" applyNumberFormat="1" applyFont="1" applyBorder="1" applyAlignment="1">
      <alignment/>
    </xf>
    <xf numFmtId="3" fontId="11" fillId="0" borderId="44" xfId="0" applyNumberFormat="1" applyFont="1" applyBorder="1" applyAlignment="1">
      <alignment/>
    </xf>
    <xf numFmtId="3" fontId="17" fillId="6" borderId="34" xfId="0" applyNumberFormat="1" applyFont="1" applyFill="1" applyBorder="1" applyAlignment="1">
      <alignment horizontal="center" vertical="center" wrapText="1"/>
    </xf>
    <xf numFmtId="3" fontId="17" fillId="6" borderId="34" xfId="0" applyNumberFormat="1" applyFont="1" applyFill="1" applyBorder="1" applyAlignment="1">
      <alignment horizontal="right" vertical="center" wrapText="1"/>
    </xf>
    <xf numFmtId="3" fontId="11" fillId="36" borderId="42" xfId="0" applyNumberFormat="1" applyFont="1" applyFill="1" applyBorder="1" applyAlignment="1">
      <alignment/>
    </xf>
    <xf numFmtId="3" fontId="11" fillId="0" borderId="45" xfId="0" applyNumberFormat="1" applyFont="1" applyBorder="1" applyAlignment="1">
      <alignment/>
    </xf>
    <xf numFmtId="3" fontId="11" fillId="0" borderId="40" xfId="0" applyNumberFormat="1" applyFont="1" applyBorder="1" applyAlignment="1">
      <alignment/>
    </xf>
    <xf numFmtId="3" fontId="17" fillId="0" borderId="44" xfId="0" applyNumberFormat="1" applyFont="1" applyBorder="1" applyAlignment="1">
      <alignment/>
    </xf>
    <xf numFmtId="3" fontId="11" fillId="34" borderId="42" xfId="0" applyNumberFormat="1" applyFont="1" applyFill="1" applyBorder="1" applyAlignment="1">
      <alignment vertical="center"/>
    </xf>
    <xf numFmtId="3" fontId="11" fillId="0" borderId="47" xfId="0" applyNumberFormat="1" applyFont="1" applyBorder="1" applyAlignment="1">
      <alignment/>
    </xf>
    <xf numFmtId="3" fontId="11" fillId="36" borderId="43" xfId="0" applyNumberFormat="1" applyFont="1" applyFill="1" applyBorder="1" applyAlignment="1">
      <alignment/>
    </xf>
    <xf numFmtId="3" fontId="11" fillId="34" borderId="49" xfId="0" applyNumberFormat="1" applyFont="1" applyFill="1" applyBorder="1" applyAlignment="1">
      <alignment vertical="center"/>
    </xf>
    <xf numFmtId="3" fontId="11" fillId="12" borderId="34" xfId="0" applyNumberFormat="1" applyFont="1" applyFill="1" applyBorder="1" applyAlignment="1">
      <alignment vertical="center"/>
    </xf>
    <xf numFmtId="3" fontId="17" fillId="6" borderId="41" xfId="0" applyNumberFormat="1" applyFont="1" applyFill="1" applyBorder="1" applyAlignment="1">
      <alignment horizontal="center" vertical="center" wrapText="1"/>
    </xf>
    <xf numFmtId="0" fontId="70" fillId="0" borderId="0" xfId="0" applyFont="1" applyAlignment="1">
      <alignment horizontal="right"/>
    </xf>
    <xf numFmtId="16" fontId="70" fillId="0" borderId="0" xfId="0" applyNumberFormat="1" applyFont="1" applyAlignment="1" quotePrefix="1">
      <alignment/>
    </xf>
    <xf numFmtId="0" fontId="70" fillId="0" borderId="0" xfId="0" applyFont="1" applyAlignment="1" quotePrefix="1">
      <alignment/>
    </xf>
    <xf numFmtId="3" fontId="70" fillId="0" borderId="0" xfId="0" applyNumberFormat="1" applyFont="1" applyAlignment="1">
      <alignment/>
    </xf>
    <xf numFmtId="0" fontId="74" fillId="0" borderId="0" xfId="0" applyFont="1" applyAlignment="1">
      <alignment vertical="center" wrapText="1"/>
    </xf>
    <xf numFmtId="0" fontId="74" fillId="0" borderId="0" xfId="0" applyFont="1" applyAlignment="1">
      <alignment horizontal="center" vertical="center" wrapText="1"/>
    </xf>
    <xf numFmtId="0" fontId="74" fillId="0" borderId="0" xfId="0" applyFont="1" applyAlignment="1">
      <alignment horizontal="left" vertical="center" wrapText="1" indent="5"/>
    </xf>
    <xf numFmtId="0" fontId="76" fillId="0" borderId="0" xfId="0" applyFont="1" applyAlignment="1">
      <alignment horizontal="left" vertical="center" wrapText="1" indent="5"/>
    </xf>
    <xf numFmtId="0" fontId="74" fillId="0" borderId="0" xfId="0" applyFont="1" applyAlignment="1">
      <alignment vertical="center"/>
    </xf>
    <xf numFmtId="0" fontId="74" fillId="0" borderId="0" xfId="0" applyFont="1" applyAlignment="1">
      <alignment horizontal="center" vertical="center"/>
    </xf>
    <xf numFmtId="0" fontId="74" fillId="0" borderId="0" xfId="0" applyFont="1" applyAlignment="1">
      <alignment horizontal="center" vertical="center"/>
    </xf>
    <xf numFmtId="0" fontId="70" fillId="0" borderId="0" xfId="0" applyFont="1" applyAlignment="1">
      <alignment horizontal="center"/>
    </xf>
    <xf numFmtId="3" fontId="71" fillId="0" borderId="0" xfId="0" applyNumberFormat="1" applyFont="1" applyAlignment="1">
      <alignment/>
    </xf>
    <xf numFmtId="0" fontId="77" fillId="0" borderId="0" xfId="0" applyFont="1" applyAlignment="1">
      <alignment/>
    </xf>
    <xf numFmtId="16" fontId="77" fillId="0" borderId="0" xfId="0" applyNumberFormat="1" applyFont="1" applyAlignment="1" quotePrefix="1">
      <alignment/>
    </xf>
    <xf numFmtId="3" fontId="77" fillId="0" borderId="0" xfId="0" applyNumberFormat="1" applyFont="1" applyAlignment="1">
      <alignment/>
    </xf>
    <xf numFmtId="0" fontId="77" fillId="0" borderId="0" xfId="0" applyFont="1" applyAlignment="1" quotePrefix="1">
      <alignment/>
    </xf>
    <xf numFmtId="0" fontId="71" fillId="0" borderId="0" xfId="0" applyFont="1" applyAlignment="1" quotePrefix="1">
      <alignment/>
    </xf>
    <xf numFmtId="0" fontId="70" fillId="0" borderId="0" xfId="0" applyFont="1" applyFill="1" applyAlignment="1">
      <alignment/>
    </xf>
    <xf numFmtId="0" fontId="70" fillId="0" borderId="0" xfId="0" applyFont="1" applyFill="1" applyAlignment="1" quotePrefix="1">
      <alignment/>
    </xf>
    <xf numFmtId="3" fontId="70" fillId="0" borderId="0" xfId="0" applyNumberFormat="1" applyFont="1" applyFill="1" applyAlignment="1">
      <alignment/>
    </xf>
    <xf numFmtId="0" fontId="71" fillId="36" borderId="0" xfId="0" applyFont="1" applyFill="1" applyAlignment="1">
      <alignment/>
    </xf>
    <xf numFmtId="3" fontId="71" fillId="36" borderId="0" xfId="0" applyNumberFormat="1" applyFont="1" applyFill="1" applyAlignment="1">
      <alignment/>
    </xf>
    <xf numFmtId="0" fontId="77" fillId="36" borderId="0" xfId="0" applyFont="1" applyFill="1" applyAlignment="1">
      <alignment/>
    </xf>
    <xf numFmtId="0" fontId="77" fillId="36" borderId="0" xfId="0" applyFont="1" applyFill="1" applyAlignment="1" quotePrefix="1">
      <alignment/>
    </xf>
    <xf numFmtId="3" fontId="77" fillId="36" borderId="0" xfId="0" applyNumberFormat="1" applyFont="1" applyFill="1" applyAlignment="1">
      <alignment/>
    </xf>
    <xf numFmtId="3" fontId="75" fillId="0" borderId="0" xfId="0" applyNumberFormat="1" applyFont="1" applyAlignment="1">
      <alignment/>
    </xf>
    <xf numFmtId="3" fontId="74" fillId="0" borderId="0" xfId="0" applyNumberFormat="1" applyFont="1" applyAlignment="1">
      <alignment/>
    </xf>
    <xf numFmtId="0" fontId="73" fillId="0" borderId="0" xfId="0" applyFont="1" applyAlignment="1">
      <alignment/>
    </xf>
    <xf numFmtId="0" fontId="70" fillId="8" borderId="0" xfId="0" applyFont="1" applyFill="1" applyAlignment="1">
      <alignment/>
    </xf>
    <xf numFmtId="0" fontId="77" fillId="8" borderId="0" xfId="0" applyFont="1" applyFill="1" applyAlignment="1">
      <alignment/>
    </xf>
    <xf numFmtId="0" fontId="69" fillId="0" borderId="0" xfId="0" applyFont="1" applyAlignment="1">
      <alignment/>
    </xf>
    <xf numFmtId="0" fontId="74" fillId="0" borderId="0" xfId="0" applyFont="1" applyAlignment="1">
      <alignment horizontal="center"/>
    </xf>
    <xf numFmtId="0" fontId="74" fillId="0" borderId="0" xfId="0" applyFont="1" applyAlignment="1">
      <alignment horizontal="left" indent="4"/>
    </xf>
    <xf numFmtId="3" fontId="74" fillId="0" borderId="0" xfId="0" applyNumberFormat="1" applyFont="1" applyAlignment="1">
      <alignment horizontal="right"/>
    </xf>
    <xf numFmtId="0" fontId="74" fillId="0" borderId="0" xfId="0" applyFont="1" applyAlignment="1">
      <alignment horizontal="left"/>
    </xf>
    <xf numFmtId="0" fontId="74" fillId="0" borderId="0" xfId="0" applyFont="1" applyAlignment="1" quotePrefix="1">
      <alignment horizontal="left"/>
    </xf>
    <xf numFmtId="0" fontId="77" fillId="0" borderId="0" xfId="0" applyFont="1" applyFill="1" applyAlignment="1">
      <alignment/>
    </xf>
    <xf numFmtId="0" fontId="77" fillId="0" borderId="0" xfId="0" applyFont="1" applyFill="1" applyAlignment="1" quotePrefix="1">
      <alignment/>
    </xf>
    <xf numFmtId="3" fontId="77" fillId="0" borderId="0" xfId="0" applyNumberFormat="1" applyFont="1" applyFill="1" applyAlignment="1">
      <alignment/>
    </xf>
    <xf numFmtId="16" fontId="70" fillId="0" borderId="0" xfId="0" applyNumberFormat="1" applyFont="1" applyFill="1" applyAlignment="1" quotePrefix="1">
      <alignment/>
    </xf>
    <xf numFmtId="0" fontId="70" fillId="0" borderId="0" xfId="0" applyFont="1" applyAlignment="1">
      <alignment/>
    </xf>
    <xf numFmtId="0" fontId="17" fillId="0" borderId="22" xfId="0" applyFont="1" applyBorder="1" applyAlignment="1">
      <alignment horizontal="left" vertical="center" wrapText="1"/>
    </xf>
    <xf numFmtId="0" fontId="17" fillId="0" borderId="22" xfId="0" applyFont="1" applyBorder="1" applyAlignment="1">
      <alignment horizontal="left" vertical="center"/>
    </xf>
    <xf numFmtId="0" fontId="17" fillId="0" borderId="45" xfId="0" applyFont="1" applyBorder="1" applyAlignment="1">
      <alignment horizontal="left" vertical="center" wrapText="1"/>
    </xf>
    <xf numFmtId="3" fontId="2" fillId="0" borderId="39" xfId="69" applyNumberFormat="1" applyFont="1" applyFill="1" applyBorder="1">
      <alignment/>
      <protection/>
    </xf>
    <xf numFmtId="0" fontId="74" fillId="0" borderId="11" xfId="0" applyFont="1" applyBorder="1" applyAlignment="1">
      <alignment horizontal="left" vertical="center" wrapText="1" indent="8"/>
    </xf>
    <xf numFmtId="0" fontId="74" fillId="0" borderId="11" xfId="0" applyFont="1" applyBorder="1" applyAlignment="1">
      <alignment horizontal="center" vertical="center" wrapText="1"/>
    </xf>
    <xf numFmtId="0" fontId="78" fillId="0" borderId="0" xfId="0" applyFont="1" applyAlignment="1">
      <alignment horizontal="justify" vertical="center" wrapText="1"/>
    </xf>
    <xf numFmtId="0" fontId="74" fillId="0" borderId="0" xfId="0" applyFont="1" applyAlignment="1">
      <alignment horizontal="center" vertical="center"/>
    </xf>
    <xf numFmtId="0" fontId="74" fillId="0" borderId="11" xfId="0" applyFont="1" applyBorder="1" applyAlignment="1">
      <alignment horizontal="left" vertical="center" wrapText="1" indent="3"/>
    </xf>
    <xf numFmtId="0" fontId="0" fillId="0" borderId="11" xfId="0" applyFont="1" applyBorder="1" applyAlignment="1">
      <alignment horizontal="left" vertical="center" wrapText="1" indent="3"/>
    </xf>
    <xf numFmtId="0" fontId="74" fillId="0" borderId="0" xfId="0" applyFont="1" applyAlignment="1">
      <alignment vertical="center" wrapText="1"/>
    </xf>
    <xf numFmtId="0" fontId="79" fillId="0" borderId="0" xfId="0" applyFont="1" applyAlignment="1">
      <alignment horizontal="left" vertical="center" wrapText="1" indent="5"/>
    </xf>
    <xf numFmtId="0" fontId="80" fillId="0" borderId="0" xfId="0" applyFont="1" applyAlignment="1">
      <alignment horizontal="left" vertical="center" wrapText="1" indent="5"/>
    </xf>
    <xf numFmtId="0" fontId="70" fillId="0" borderId="0" xfId="0" applyFont="1" applyBorder="1" applyAlignment="1">
      <alignment horizontal="left" vertical="center" wrapText="1" indent="5"/>
    </xf>
    <xf numFmtId="0" fontId="74" fillId="0" borderId="0" xfId="0" applyFont="1" applyAlignment="1" quotePrefix="1">
      <alignment horizontal="left" vertical="center" wrapText="1" indent="5"/>
    </xf>
    <xf numFmtId="0" fontId="74" fillId="0" borderId="0" xfId="0" applyFont="1" applyAlignment="1">
      <alignment horizontal="left" vertical="center" wrapText="1" indent="5"/>
    </xf>
    <xf numFmtId="0" fontId="76" fillId="0" borderId="0" xfId="0" applyFont="1" applyAlignment="1">
      <alignment horizontal="right" vertical="center" wrapText="1"/>
    </xf>
    <xf numFmtId="0" fontId="74" fillId="0" borderId="0" xfId="0" applyFont="1" applyAlignment="1">
      <alignment horizontal="center" vertical="center" wrapText="1"/>
    </xf>
    <xf numFmtId="0" fontId="74" fillId="0" borderId="0" xfId="0" applyFont="1" applyBorder="1" applyAlignment="1">
      <alignment vertical="center" wrapText="1"/>
    </xf>
    <xf numFmtId="0" fontId="74" fillId="0" borderId="0" xfId="0" applyFont="1" applyBorder="1" applyAlignment="1">
      <alignment horizontal="center" vertical="center" wrapText="1"/>
    </xf>
    <xf numFmtId="0" fontId="70" fillId="0" borderId="0" xfId="0" applyFont="1" applyAlignment="1">
      <alignment horizontal="center" wrapText="1"/>
    </xf>
    <xf numFmtId="0" fontId="70" fillId="0" borderId="0" xfId="0" applyFont="1" applyAlignment="1">
      <alignment horizontal="justify" wrapText="1"/>
    </xf>
    <xf numFmtId="0" fontId="70" fillId="0" borderId="0" xfId="0" applyFont="1" applyAlignment="1">
      <alignment horizontal="justify"/>
    </xf>
    <xf numFmtId="0" fontId="74" fillId="0" borderId="0" xfId="0" applyFont="1" applyAlignment="1">
      <alignment horizontal="justify" wrapText="1"/>
    </xf>
    <xf numFmtId="0" fontId="75" fillId="0" borderId="0" xfId="0" applyFont="1" applyAlignment="1">
      <alignment horizontal="center"/>
    </xf>
    <xf numFmtId="0" fontId="14" fillId="0" borderId="0" xfId="73" applyFont="1" applyBorder="1" applyAlignment="1">
      <alignment horizontal="center"/>
      <protection/>
    </xf>
    <xf numFmtId="0" fontId="70" fillId="0" borderId="34" xfId="0" applyFont="1" applyBorder="1" applyAlignment="1">
      <alignment horizontal="left" vertical="center"/>
    </xf>
    <xf numFmtId="3" fontId="70" fillId="0" borderId="41" xfId="0" applyNumberFormat="1" applyFont="1" applyBorder="1" applyAlignment="1">
      <alignment horizontal="right" vertical="center"/>
    </xf>
    <xf numFmtId="0" fontId="0" fillId="0" borderId="42" xfId="0" applyFont="1" applyBorder="1" applyAlignment="1">
      <alignment horizontal="right" vertical="center"/>
    </xf>
    <xf numFmtId="0" fontId="0" fillId="0" borderId="43" xfId="0" applyFont="1" applyBorder="1" applyAlignment="1">
      <alignment horizontal="right" vertical="center"/>
    </xf>
    <xf numFmtId="3" fontId="73" fillId="12" borderId="41" xfId="0" applyNumberFormat="1" applyFont="1" applyFill="1" applyBorder="1" applyAlignment="1">
      <alignment horizontal="right" vertical="center"/>
    </xf>
    <xf numFmtId="0" fontId="72" fillId="0" borderId="41" xfId="0" applyFont="1" applyBorder="1" applyAlignment="1">
      <alignment horizontal="center"/>
    </xf>
    <xf numFmtId="0" fontId="72" fillId="0" borderId="42" xfId="0" applyFont="1" applyBorder="1" applyAlignment="1">
      <alignment horizontal="center"/>
    </xf>
    <xf numFmtId="0" fontId="72" fillId="0" borderId="43" xfId="0" applyFont="1" applyBorder="1" applyAlignment="1">
      <alignment horizontal="center"/>
    </xf>
    <xf numFmtId="0" fontId="14" fillId="37" borderId="41" xfId="0" applyFont="1" applyFill="1" applyBorder="1" applyAlignment="1">
      <alignment horizontal="center" vertical="center"/>
    </xf>
    <xf numFmtId="0" fontId="14" fillId="37" borderId="42" xfId="0" applyFont="1" applyFill="1" applyBorder="1" applyAlignment="1">
      <alignment horizontal="center" vertical="center"/>
    </xf>
    <xf numFmtId="0" fontId="14" fillId="37" borderId="43" xfId="0" applyFont="1" applyFill="1" applyBorder="1" applyAlignment="1">
      <alignment horizontal="center" vertical="center"/>
    </xf>
    <xf numFmtId="0" fontId="73" fillId="12" borderId="34" xfId="0" applyFont="1" applyFill="1" applyBorder="1" applyAlignment="1">
      <alignment horizontal="left" vertical="center"/>
    </xf>
    <xf numFmtId="0" fontId="70" fillId="0" borderId="34" xfId="0" applyFont="1" applyBorder="1" applyAlignment="1">
      <alignment horizontal="left" indent="3"/>
    </xf>
    <xf numFmtId="0" fontId="70" fillId="0" borderId="41" xfId="0" applyFont="1" applyBorder="1" applyAlignment="1">
      <alignment horizontal="left" indent="3"/>
    </xf>
    <xf numFmtId="0" fontId="70" fillId="0" borderId="42" xfId="0" applyFont="1" applyBorder="1" applyAlignment="1">
      <alignment horizontal="left" indent="3"/>
    </xf>
    <xf numFmtId="0" fontId="70" fillId="0" borderId="43" xfId="0" applyFont="1" applyBorder="1" applyAlignment="1">
      <alignment horizontal="left" indent="3"/>
    </xf>
    <xf numFmtId="0" fontId="75" fillId="12" borderId="34" xfId="0" applyFont="1" applyFill="1" applyBorder="1" applyAlignment="1">
      <alignment horizontal="left" vertical="center"/>
    </xf>
    <xf numFmtId="3" fontId="73" fillId="12" borderId="42" xfId="0" applyNumberFormat="1" applyFont="1" applyFill="1" applyBorder="1" applyAlignment="1">
      <alignment horizontal="right" vertical="center"/>
    </xf>
    <xf numFmtId="3" fontId="73" fillId="12" borderId="43" xfId="0" applyNumberFormat="1" applyFont="1" applyFill="1" applyBorder="1" applyAlignment="1">
      <alignment horizontal="right" vertical="center"/>
    </xf>
    <xf numFmtId="0" fontId="70" fillId="0" borderId="34" xfId="0" applyFont="1" applyBorder="1" applyAlignment="1">
      <alignment horizontal="center"/>
    </xf>
    <xf numFmtId="0" fontId="11" fillId="0" borderId="34" xfId="0" applyFont="1" applyFill="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3" fontId="70" fillId="0" borderId="42" xfId="0" applyNumberFormat="1" applyFont="1" applyBorder="1" applyAlignment="1">
      <alignment horizontal="right" vertical="center"/>
    </xf>
    <xf numFmtId="0" fontId="70" fillId="0" borderId="43" xfId="0" applyFont="1" applyBorder="1" applyAlignment="1">
      <alignment horizontal="right" vertical="center"/>
    </xf>
    <xf numFmtId="0" fontId="10" fillId="34" borderId="41"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41" xfId="0" applyFont="1" applyFill="1" applyBorder="1" applyAlignment="1">
      <alignment horizontal="left" vertical="center"/>
    </xf>
    <xf numFmtId="0" fontId="10" fillId="34" borderId="42" xfId="0" applyFont="1" applyFill="1" applyBorder="1" applyAlignment="1">
      <alignment horizontal="left" vertical="center"/>
    </xf>
    <xf numFmtId="0" fontId="10" fillId="36" borderId="42"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40" xfId="0" applyFont="1" applyBorder="1" applyAlignment="1">
      <alignment horizontal="left" vertical="center" wrapText="1"/>
    </xf>
    <xf numFmtId="0" fontId="70" fillId="0" borderId="41" xfId="0" applyFont="1" applyBorder="1" applyAlignment="1">
      <alignment horizontal="center"/>
    </xf>
    <xf numFmtId="0" fontId="70" fillId="0" borderId="42" xfId="0" applyFont="1" applyBorder="1" applyAlignment="1">
      <alignment horizontal="center"/>
    </xf>
    <xf numFmtId="0" fontId="70" fillId="0" borderId="43" xfId="0" applyFont="1" applyBorder="1" applyAlignment="1">
      <alignment horizontal="center"/>
    </xf>
    <xf numFmtId="0" fontId="10" fillId="34" borderId="43" xfId="0" applyFont="1" applyFill="1" applyBorder="1" applyAlignment="1">
      <alignment horizontal="left" vertical="center"/>
    </xf>
    <xf numFmtId="0" fontId="10" fillId="36" borderId="43" xfId="0" applyFont="1" applyFill="1" applyBorder="1" applyAlignment="1">
      <alignment horizontal="left" vertical="center" wrapText="1"/>
    </xf>
    <xf numFmtId="0" fontId="10" fillId="34" borderId="43" xfId="0" applyFont="1" applyFill="1" applyBorder="1" applyAlignment="1">
      <alignment horizontal="left" vertical="center" wrapText="1"/>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4" fillId="37" borderId="41" xfId="0" applyFont="1" applyFill="1" applyBorder="1" applyAlignment="1">
      <alignment horizontal="center" vertical="center" wrapText="1"/>
    </xf>
    <xf numFmtId="0" fontId="14" fillId="37" borderId="42" xfId="0"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1" xfId="0" applyFont="1" applyFill="1" applyBorder="1" applyAlignment="1">
      <alignment horizontal="center" vertical="center"/>
    </xf>
    <xf numFmtId="0" fontId="75" fillId="0" borderId="42" xfId="0" applyFont="1" applyBorder="1" applyAlignment="1">
      <alignment horizontal="center"/>
    </xf>
    <xf numFmtId="0" fontId="75" fillId="0" borderId="41" xfId="0" applyFont="1" applyBorder="1" applyAlignment="1">
      <alignment horizontal="center"/>
    </xf>
    <xf numFmtId="0" fontId="15" fillId="37" borderId="41" xfId="0" applyFont="1" applyFill="1" applyBorder="1" applyAlignment="1">
      <alignment horizontal="center" vertical="center" wrapText="1"/>
    </xf>
    <xf numFmtId="0" fontId="15" fillId="37" borderId="42" xfId="0" applyFont="1" applyFill="1" applyBorder="1" applyAlignment="1">
      <alignment horizontal="center" vertical="center" wrapText="1"/>
    </xf>
    <xf numFmtId="0" fontId="15" fillId="37" borderId="43" xfId="0" applyFont="1" applyFill="1" applyBorder="1" applyAlignment="1">
      <alignment horizontal="center" vertical="center" wrapText="1"/>
    </xf>
    <xf numFmtId="0" fontId="2" fillId="0" borderId="0" xfId="69" applyAlignment="1">
      <alignment horizontal="left" vertical="center" wrapText="1"/>
      <protection/>
    </xf>
    <xf numFmtId="0" fontId="10" fillId="0" borderId="0" xfId="69" applyFont="1" applyAlignment="1">
      <alignment horizontal="center" vertical="center"/>
      <protection/>
    </xf>
    <xf numFmtId="0" fontId="9" fillId="0" borderId="41" xfId="69" applyFont="1" applyBorder="1" applyAlignment="1">
      <alignment horizontal="center" vertical="center"/>
      <protection/>
    </xf>
    <xf numFmtId="0" fontId="9" fillId="0" borderId="42" xfId="69" applyFont="1" applyBorder="1" applyAlignment="1">
      <alignment horizontal="center" vertical="center"/>
      <protection/>
    </xf>
    <xf numFmtId="0" fontId="11" fillId="34" borderId="52" xfId="69" applyFont="1" applyFill="1" applyBorder="1" applyAlignment="1">
      <alignment horizontal="center" vertical="center"/>
      <protection/>
    </xf>
    <xf numFmtId="0" fontId="11" fillId="34" borderId="48" xfId="69" applyFont="1" applyFill="1" applyBorder="1" applyAlignment="1">
      <alignment horizontal="center" vertical="center"/>
      <protection/>
    </xf>
    <xf numFmtId="0" fontId="11" fillId="35" borderId="53" xfId="69" applyFont="1" applyFill="1" applyBorder="1" applyAlignment="1">
      <alignment horizontal="center" vertical="center"/>
      <protection/>
    </xf>
    <xf numFmtId="0" fontId="11" fillId="35" borderId="49" xfId="69" applyFont="1" applyFill="1" applyBorder="1" applyAlignment="1">
      <alignment horizontal="center" vertical="center"/>
      <protection/>
    </xf>
    <xf numFmtId="0" fontId="9" fillId="35" borderId="55" xfId="69" applyFont="1" applyFill="1" applyBorder="1" applyAlignment="1">
      <alignment horizontal="center" vertical="center" wrapText="1"/>
      <protection/>
    </xf>
    <xf numFmtId="0" fontId="9" fillId="35" borderId="56" xfId="69" applyFont="1" applyFill="1" applyBorder="1" applyAlignment="1">
      <alignment horizontal="center" vertical="center" wrapText="1"/>
      <protection/>
    </xf>
    <xf numFmtId="0" fontId="9" fillId="0" borderId="10" xfId="69" applyFont="1" applyBorder="1" applyAlignment="1">
      <alignment horizontal="left" vertical="center"/>
      <protection/>
    </xf>
    <xf numFmtId="0" fontId="9" fillId="34" borderId="15" xfId="69" applyFont="1" applyFill="1" applyBorder="1" applyAlignment="1">
      <alignment horizontal="center" wrapText="1"/>
      <protection/>
    </xf>
    <xf numFmtId="0" fontId="9" fillId="34" borderId="10" xfId="69" applyFont="1" applyFill="1" applyBorder="1" applyAlignment="1">
      <alignment horizontal="center" wrapText="1"/>
      <protection/>
    </xf>
    <xf numFmtId="0" fontId="9" fillId="34" borderId="16" xfId="69" applyFont="1" applyFill="1" applyBorder="1" applyAlignment="1">
      <alignment horizontal="center" wrapText="1"/>
      <protection/>
    </xf>
    <xf numFmtId="0" fontId="2" fillId="0" borderId="15" xfId="69" applyBorder="1" applyAlignment="1">
      <alignment horizontal="left" wrapText="1"/>
      <protection/>
    </xf>
    <xf numFmtId="0" fontId="2" fillId="0" borderId="10" xfId="69" applyBorder="1" applyAlignment="1">
      <alignment horizontal="left" wrapText="1"/>
      <protection/>
    </xf>
    <xf numFmtId="0" fontId="2" fillId="0" borderId="16" xfId="69" applyBorder="1" applyAlignment="1">
      <alignment horizontal="left" wrapText="1"/>
      <protection/>
    </xf>
    <xf numFmtId="0" fontId="2" fillId="0" borderId="11" xfId="69" applyBorder="1" applyAlignment="1">
      <alignment horizontal="left" wrapText="1"/>
      <protection/>
    </xf>
    <xf numFmtId="0" fontId="2" fillId="0" borderId="15" xfId="69" applyFont="1" applyBorder="1" applyAlignment="1">
      <alignment horizontal="left" wrapText="1"/>
      <protection/>
    </xf>
    <xf numFmtId="0" fontId="2" fillId="0" borderId="10" xfId="69" applyFont="1" applyBorder="1" applyAlignment="1">
      <alignment horizontal="left" wrapText="1"/>
      <protection/>
    </xf>
    <xf numFmtId="0" fontId="2" fillId="0" borderId="16" xfId="69" applyFont="1" applyBorder="1" applyAlignment="1">
      <alignment horizontal="left" wrapText="1"/>
      <protection/>
    </xf>
    <xf numFmtId="0" fontId="2" fillId="0" borderId="15" xfId="69" applyFont="1" applyFill="1" applyBorder="1" applyAlignment="1">
      <alignment horizontal="left" wrapText="1"/>
      <protection/>
    </xf>
    <xf numFmtId="0" fontId="2" fillId="0" borderId="10" xfId="69" applyFont="1" applyFill="1" applyBorder="1" applyAlignment="1">
      <alignment horizontal="left" wrapText="1"/>
      <protection/>
    </xf>
    <xf numFmtId="0" fontId="2" fillId="0" borderId="16" xfId="69" applyFont="1" applyFill="1" applyBorder="1" applyAlignment="1">
      <alignment horizontal="left" wrapText="1"/>
      <protection/>
    </xf>
    <xf numFmtId="0" fontId="9" fillId="34" borderId="15" xfId="69" applyFont="1" applyFill="1" applyBorder="1" applyAlignment="1">
      <alignment horizontal="center" vertical="center" wrapText="1"/>
      <protection/>
    </xf>
    <xf numFmtId="0" fontId="9" fillId="34" borderId="10" xfId="69" applyFont="1" applyFill="1" applyBorder="1" applyAlignment="1">
      <alignment horizontal="center" vertical="center" wrapText="1"/>
      <protection/>
    </xf>
    <xf numFmtId="0" fontId="9" fillId="33" borderId="16" xfId="69" applyFont="1" applyFill="1" applyBorder="1" applyAlignment="1">
      <alignment horizontal="center" vertical="center" wrapText="1"/>
      <protection/>
    </xf>
    <xf numFmtId="0" fontId="10" fillId="0" borderId="0" xfId="69" applyFont="1" applyAlignment="1">
      <alignment horizontal="center" wrapText="1"/>
      <protection/>
    </xf>
    <xf numFmtId="0" fontId="10" fillId="0" borderId="0" xfId="69" applyFont="1" applyAlignment="1">
      <alignment horizontal="center"/>
      <protection/>
    </xf>
    <xf numFmtId="0" fontId="9" fillId="33" borderId="39" xfId="69" applyFont="1" applyFill="1" applyBorder="1" applyAlignment="1">
      <alignment horizontal="center" vertical="center" wrapText="1"/>
      <protection/>
    </xf>
    <xf numFmtId="0" fontId="9" fillId="33" borderId="57" xfId="69" applyFont="1" applyFill="1" applyBorder="1" applyAlignment="1">
      <alignment horizontal="center" vertical="center" wrapText="1"/>
      <protection/>
    </xf>
    <xf numFmtId="0" fontId="10" fillId="34" borderId="12" xfId="69" applyFont="1" applyFill="1" applyBorder="1" applyAlignment="1">
      <alignment horizontal="center" vertical="center" wrapText="1"/>
      <protection/>
    </xf>
    <xf numFmtId="0" fontId="10" fillId="34" borderId="13" xfId="69" applyFont="1" applyFill="1" applyBorder="1" applyAlignment="1">
      <alignment horizontal="center" vertical="center" wrapText="1"/>
      <protection/>
    </xf>
    <xf numFmtId="0" fontId="10" fillId="34" borderId="14" xfId="69" applyFont="1" applyFill="1" applyBorder="1" applyAlignment="1">
      <alignment horizontal="center" vertical="center" wrapText="1"/>
      <protection/>
    </xf>
    <xf numFmtId="3" fontId="10" fillId="34" borderId="39" xfId="69" applyNumberFormat="1" applyFont="1" applyFill="1" applyBorder="1" applyAlignment="1">
      <alignment horizontal="right" vertical="center"/>
      <protection/>
    </xf>
    <xf numFmtId="3" fontId="10" fillId="34" borderId="57" xfId="69" applyNumberFormat="1" applyFont="1" applyFill="1" applyBorder="1" applyAlignment="1">
      <alignment horizontal="right" vertical="center"/>
      <protection/>
    </xf>
    <xf numFmtId="3" fontId="10" fillId="34" borderId="58" xfId="69" applyNumberFormat="1" applyFont="1" applyFill="1" applyBorder="1" applyAlignment="1">
      <alignment horizontal="right" vertical="center"/>
      <protection/>
    </xf>
    <xf numFmtId="3" fontId="10" fillId="34" borderId="15" xfId="69" applyNumberFormat="1" applyFont="1" applyFill="1" applyBorder="1" applyAlignment="1">
      <alignment horizontal="center"/>
      <protection/>
    </xf>
    <xf numFmtId="3" fontId="10" fillId="34" borderId="16" xfId="69" applyNumberFormat="1" applyFont="1" applyFill="1" applyBorder="1" applyAlignment="1">
      <alignment horizontal="center"/>
      <protection/>
    </xf>
    <xf numFmtId="0" fontId="11" fillId="34" borderId="15" xfId="69" applyFont="1" applyFill="1" applyBorder="1" applyAlignment="1">
      <alignment horizontal="center" vertical="center" wrapText="1"/>
      <protection/>
    </xf>
    <xf numFmtId="0" fontId="11" fillId="34" borderId="10" xfId="69" applyFont="1" applyFill="1" applyBorder="1" applyAlignment="1">
      <alignment horizontal="center" vertical="center" wrapText="1"/>
      <protection/>
    </xf>
    <xf numFmtId="0" fontId="11" fillId="34" borderId="16" xfId="69" applyFont="1" applyFill="1" applyBorder="1" applyAlignment="1">
      <alignment horizontal="center" vertical="center" wrapText="1"/>
      <protection/>
    </xf>
    <xf numFmtId="0" fontId="2" fillId="0" borderId="15" xfId="69" applyFont="1" applyBorder="1" applyAlignment="1">
      <alignment wrapText="1"/>
      <protection/>
    </xf>
    <xf numFmtId="0" fontId="0" fillId="0" borderId="10" xfId="0" applyBorder="1" applyAlignment="1">
      <alignment wrapText="1"/>
    </xf>
    <xf numFmtId="0" fontId="0" fillId="0" borderId="16" xfId="0" applyBorder="1" applyAlignment="1">
      <alignment wrapText="1"/>
    </xf>
    <xf numFmtId="0" fontId="9" fillId="0" borderId="11" xfId="69" applyFont="1" applyBorder="1" applyAlignment="1">
      <alignment horizontal="center"/>
      <protection/>
    </xf>
    <xf numFmtId="0" fontId="10" fillId="33" borderId="15" xfId="69" applyFont="1" applyFill="1" applyBorder="1" applyAlignment="1">
      <alignment horizontal="center" wrapText="1"/>
      <protection/>
    </xf>
    <xf numFmtId="0" fontId="10" fillId="33" borderId="10" xfId="69" applyFont="1" applyFill="1" applyBorder="1" applyAlignment="1">
      <alignment horizontal="center" wrapText="1"/>
      <protection/>
    </xf>
    <xf numFmtId="0" fontId="10" fillId="33" borderId="16" xfId="69" applyFont="1" applyFill="1" applyBorder="1" applyAlignment="1">
      <alignment horizontal="center" wrapText="1"/>
      <protection/>
    </xf>
    <xf numFmtId="0" fontId="9" fillId="33" borderId="13" xfId="69" applyFont="1" applyFill="1" applyBorder="1" applyAlignment="1">
      <alignment horizontal="center" vertical="center" wrapText="1"/>
      <protection/>
    </xf>
    <xf numFmtId="0" fontId="9" fillId="33" borderId="14" xfId="69" applyFont="1" applyFill="1" applyBorder="1" applyAlignment="1">
      <alignment horizontal="center" vertical="center" wrapText="1"/>
      <protection/>
    </xf>
    <xf numFmtId="0" fontId="2" fillId="0" borderId="15" xfId="69" applyBorder="1" applyAlignment="1">
      <alignment horizontal="left"/>
      <protection/>
    </xf>
    <xf numFmtId="0" fontId="2" fillId="0" borderId="10" xfId="69" applyBorder="1" applyAlignment="1">
      <alignment horizontal="left"/>
      <protection/>
    </xf>
    <xf numFmtId="0" fontId="2" fillId="0" borderId="16" xfId="69" applyBorder="1" applyAlignment="1">
      <alignment horizontal="left"/>
      <protection/>
    </xf>
    <xf numFmtId="0" fontId="9" fillId="33" borderId="11" xfId="69" applyFont="1" applyFill="1" applyBorder="1" applyAlignment="1">
      <alignment horizontal="center" vertical="center"/>
      <protection/>
    </xf>
    <xf numFmtId="0" fontId="0" fillId="0" borderId="10" xfId="0" applyBorder="1" applyAlignment="1">
      <alignment horizontal="left" wrapText="1"/>
    </xf>
    <xf numFmtId="0" fontId="0" fillId="0" borderId="16" xfId="0" applyBorder="1" applyAlignment="1">
      <alignment horizontal="left" wrapText="1"/>
    </xf>
    <xf numFmtId="3" fontId="10" fillId="34" borderId="11" xfId="69" applyNumberFormat="1" applyFont="1" applyFill="1" applyBorder="1" applyAlignment="1">
      <alignment horizontal="center"/>
      <protection/>
    </xf>
    <xf numFmtId="0" fontId="2" fillId="0" borderId="10" xfId="68" applyBorder="1" applyAlignment="1">
      <alignment horizontal="left" wrapText="1"/>
      <protection/>
    </xf>
    <xf numFmtId="0" fontId="2" fillId="0" borderId="16" xfId="68" applyBorder="1" applyAlignment="1">
      <alignment horizontal="left" wrapText="1"/>
      <protection/>
    </xf>
    <xf numFmtId="0" fontId="2" fillId="0" borderId="10" xfId="69" applyFont="1" applyBorder="1" applyAlignment="1">
      <alignment wrapText="1"/>
      <protection/>
    </xf>
    <xf numFmtId="0" fontId="2" fillId="0" borderId="16" xfId="69" applyFont="1" applyBorder="1" applyAlignment="1">
      <alignment wrapText="1"/>
      <protection/>
    </xf>
    <xf numFmtId="0" fontId="2" fillId="0" borderId="15" xfId="69" applyFont="1" applyBorder="1" applyAlignment="1">
      <alignment horizontal="left"/>
      <protection/>
    </xf>
    <xf numFmtId="0" fontId="2" fillId="0" borderId="10" xfId="69" applyFont="1" applyBorder="1" applyAlignment="1">
      <alignment horizontal="left"/>
      <protection/>
    </xf>
    <xf numFmtId="0" fontId="2" fillId="0" borderId="16" xfId="69" applyFont="1" applyBorder="1" applyAlignment="1">
      <alignment horizontal="left"/>
      <protection/>
    </xf>
    <xf numFmtId="0" fontId="2" fillId="0" borderId="15" xfId="69" applyFont="1" applyFill="1" applyBorder="1" applyAlignment="1">
      <alignment horizontal="left"/>
      <protection/>
    </xf>
    <xf numFmtId="0" fontId="2" fillId="0" borderId="10" xfId="69" applyFont="1" applyFill="1" applyBorder="1" applyAlignment="1">
      <alignment horizontal="left"/>
      <protection/>
    </xf>
    <xf numFmtId="0" fontId="2" fillId="0" borderId="16" xfId="69" applyFont="1" applyFill="1" applyBorder="1" applyAlignment="1">
      <alignment horizontal="left"/>
      <protection/>
    </xf>
  </cellXfs>
  <cellStyles count="6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2 2" xfId="43"/>
    <cellStyle name="Ezres 3" xfId="44"/>
    <cellStyle name="Ezres 4" xfId="45"/>
    <cellStyle name="Ezres 5" xfId="46"/>
    <cellStyle name="Ezres 6" xfId="47"/>
    <cellStyle name="Ezres 6 2" xfId="48"/>
    <cellStyle name="Ezres 7" xfId="49"/>
    <cellStyle name="Ezres 8" xfId="50"/>
    <cellStyle name="Figyelmeztetés" xfId="51"/>
    <cellStyle name="Hiperhivatkozás" xfId="52"/>
    <cellStyle name="Hyperlink"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Followed Hyperlink" xfId="64"/>
    <cellStyle name="Magyarázó szöveg" xfId="65"/>
    <cellStyle name="Már látott hiperhivatkozás" xfId="66"/>
    <cellStyle name="Normál 2" xfId="67"/>
    <cellStyle name="Normál 2 2" xfId="68"/>
    <cellStyle name="Normál 3" xfId="69"/>
    <cellStyle name="Normál 4" xfId="70"/>
    <cellStyle name="Normál 5" xfId="71"/>
    <cellStyle name="Normál 6" xfId="72"/>
    <cellStyle name="Normál 7" xfId="73"/>
    <cellStyle name="Normál_kiadások 2008" xfId="74"/>
    <cellStyle name="Összesen" xfId="75"/>
    <cellStyle name="Currency" xfId="76"/>
    <cellStyle name="Currency [0]" xfId="77"/>
    <cellStyle name="Pénznem 2" xfId="78"/>
    <cellStyle name="Rossz" xfId="79"/>
    <cellStyle name="Semleges" xfId="80"/>
    <cellStyle name="Számítás" xfId="81"/>
    <cellStyle name="Percen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1304925</xdr:colOff>
      <xdr:row>6</xdr:row>
      <xdr:rowOff>19050</xdr:rowOff>
    </xdr:to>
    <xdr:pic>
      <xdr:nvPicPr>
        <xdr:cNvPr id="1" name="Kép 1" descr="Leírás: CIMER"/>
        <xdr:cNvPicPr preferRelativeResize="1">
          <a:picLocks noChangeAspect="1"/>
        </xdr:cNvPicPr>
      </xdr:nvPicPr>
      <xdr:blipFill>
        <a:blip r:embed="rId1"/>
        <a:stretch>
          <a:fillRect/>
        </a:stretch>
      </xdr:blipFill>
      <xdr:spPr>
        <a:xfrm>
          <a:off x="47625" y="0"/>
          <a:ext cx="1257300" cy="1733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78"/>
  <sheetViews>
    <sheetView view="pageBreakPreview" zoomScaleSheetLayoutView="100" zoomScalePageLayoutView="0" workbookViewId="0" topLeftCell="A1">
      <selection activeCell="E67" sqref="E67"/>
    </sheetView>
  </sheetViews>
  <sheetFormatPr defaultColWidth="9.140625" defaultRowHeight="15"/>
  <cols>
    <col min="1" max="1" width="40.7109375" style="0" customWidth="1"/>
    <col min="2" max="2" width="35.7109375" style="0" customWidth="1"/>
    <col min="3" max="3" width="5.7109375" style="0" customWidth="1"/>
  </cols>
  <sheetData>
    <row r="1" spans="1:3" ht="15">
      <c r="A1" s="325"/>
      <c r="B1" s="326"/>
      <c r="C1" s="326"/>
    </row>
    <row r="2" spans="1:3" ht="30" customHeight="1">
      <c r="A2" s="325"/>
      <c r="B2" s="326" t="s">
        <v>1098</v>
      </c>
      <c r="C2" s="326"/>
    </row>
    <row r="3" spans="1:3" ht="30" customHeight="1">
      <c r="A3" s="325"/>
      <c r="B3" s="326" t="s">
        <v>1099</v>
      </c>
      <c r="C3" s="326"/>
    </row>
    <row r="4" spans="1:3" ht="30" customHeight="1">
      <c r="A4" s="325"/>
      <c r="B4" s="326" t="s">
        <v>1100</v>
      </c>
      <c r="C4" s="326"/>
    </row>
    <row r="5" spans="1:3" ht="15">
      <c r="A5" s="325"/>
      <c r="B5" s="326"/>
      <c r="C5" s="326"/>
    </row>
    <row r="6" spans="1:3" ht="15">
      <c r="A6" s="325"/>
      <c r="B6" s="326"/>
      <c r="C6" s="326"/>
    </row>
    <row r="7" spans="1:3" ht="15">
      <c r="A7" s="324"/>
      <c r="B7" s="324" t="s">
        <v>1101</v>
      </c>
      <c r="C7" s="324"/>
    </row>
    <row r="8" spans="1:3" ht="15">
      <c r="A8" s="324"/>
      <c r="B8" s="324"/>
      <c r="C8" s="324"/>
    </row>
    <row r="9" spans="1:3" ht="15">
      <c r="A9" s="324"/>
      <c r="B9" s="324"/>
      <c r="C9" s="324"/>
    </row>
    <row r="10" spans="1:3" ht="15">
      <c r="A10" s="324"/>
      <c r="B10" s="324"/>
      <c r="C10" s="324"/>
    </row>
    <row r="11" spans="1:3" ht="15">
      <c r="A11" s="270"/>
      <c r="B11" s="270"/>
      <c r="C11" s="270"/>
    </row>
    <row r="12" spans="1:3" ht="15">
      <c r="A12" s="270"/>
      <c r="B12" s="270"/>
      <c r="C12" s="270"/>
    </row>
    <row r="13" spans="1:3" ht="15" customHeight="1">
      <c r="A13" s="324" t="s">
        <v>1132</v>
      </c>
      <c r="B13" s="324"/>
      <c r="C13" s="324"/>
    </row>
    <row r="14" spans="1:3" ht="75" customHeight="1">
      <c r="A14" s="324" t="s">
        <v>1115</v>
      </c>
      <c r="B14" s="324"/>
      <c r="C14" s="324"/>
    </row>
    <row r="15" spans="1:3" ht="15">
      <c r="A15" s="324"/>
      <c r="B15" s="324"/>
      <c r="C15" s="324"/>
    </row>
    <row r="16" spans="1:3" ht="15">
      <c r="A16" s="324"/>
      <c r="B16" s="324"/>
      <c r="C16" s="324"/>
    </row>
    <row r="17" spans="1:3" ht="15">
      <c r="A17" s="317"/>
      <c r="B17" s="317"/>
      <c r="C17" s="317"/>
    </row>
    <row r="18" spans="1:3" ht="15">
      <c r="A18" s="317"/>
      <c r="B18" s="317"/>
      <c r="C18" s="317"/>
    </row>
    <row r="19" spans="1:3" ht="15">
      <c r="A19" s="271" t="s">
        <v>1133</v>
      </c>
      <c r="B19" s="317"/>
      <c r="C19" s="317"/>
    </row>
    <row r="20" spans="1:3" ht="15">
      <c r="A20" s="317"/>
      <c r="B20" s="317"/>
      <c r="C20" s="317"/>
    </row>
    <row r="21" spans="1:3" ht="15">
      <c r="A21" s="317"/>
      <c r="B21" s="317"/>
      <c r="C21" s="317"/>
    </row>
    <row r="22" spans="1:3" ht="15">
      <c r="A22" s="323" t="s">
        <v>1102</v>
      </c>
      <c r="B22" s="275" t="s">
        <v>1284</v>
      </c>
      <c r="C22" s="269"/>
    </row>
    <row r="23" spans="1:3" ht="15">
      <c r="A23" s="323"/>
      <c r="B23" s="275" t="s">
        <v>1104</v>
      </c>
      <c r="C23" s="269"/>
    </row>
    <row r="24" spans="1:3" ht="15">
      <c r="A24" s="317"/>
      <c r="B24" s="317"/>
      <c r="C24" s="317"/>
    </row>
    <row r="25" spans="1:3" ht="15">
      <c r="A25" s="317"/>
      <c r="B25" s="317"/>
      <c r="C25" s="317"/>
    </row>
    <row r="26" spans="1:3" ht="15">
      <c r="A26" s="272" t="s">
        <v>1105</v>
      </c>
      <c r="B26" s="317"/>
      <c r="C26" s="317"/>
    </row>
    <row r="27" spans="1:3" ht="15">
      <c r="A27" s="321" t="s">
        <v>1114</v>
      </c>
      <c r="B27" s="317"/>
      <c r="C27" s="317"/>
    </row>
    <row r="28" spans="1:3" ht="15">
      <c r="A28" s="322"/>
      <c r="B28" s="317"/>
      <c r="C28" s="317"/>
    </row>
    <row r="29" spans="1:3" ht="15">
      <c r="A29" s="317"/>
      <c r="B29" s="317"/>
      <c r="C29" s="317"/>
    </row>
    <row r="30" spans="1:3" ht="15">
      <c r="A30" s="317"/>
      <c r="B30" s="317"/>
      <c r="C30" s="317"/>
    </row>
    <row r="31" spans="1:3" ht="15">
      <c r="A31" s="317"/>
      <c r="B31" s="317"/>
      <c r="C31" s="317"/>
    </row>
    <row r="32" spans="1:3" ht="15.75" customHeight="1">
      <c r="A32" s="318" t="s">
        <v>1106</v>
      </c>
      <c r="B32" s="318"/>
      <c r="C32" s="318"/>
    </row>
    <row r="33" spans="1:3" ht="15.75" customHeight="1">
      <c r="A33" s="318" t="s">
        <v>1107</v>
      </c>
      <c r="B33" s="318"/>
      <c r="C33" s="318"/>
    </row>
    <row r="34" spans="1:3" ht="15" customHeight="1">
      <c r="A34" s="319" t="s">
        <v>1108</v>
      </c>
      <c r="B34" s="319"/>
      <c r="C34" s="319"/>
    </row>
    <row r="35" spans="1:3" ht="15" customHeight="1">
      <c r="A35" s="319" t="s">
        <v>1109</v>
      </c>
      <c r="B35" s="319"/>
      <c r="C35" s="319"/>
    </row>
    <row r="36" spans="1:3" ht="15" customHeight="1">
      <c r="A36" s="319" t="s">
        <v>1110</v>
      </c>
      <c r="B36" s="319"/>
      <c r="C36" s="319"/>
    </row>
    <row r="37" spans="1:3" ht="15">
      <c r="A37" s="317"/>
      <c r="B37" s="317"/>
      <c r="C37" s="317"/>
    </row>
    <row r="38" spans="1:3" ht="15.75" customHeight="1">
      <c r="A38" s="318" t="s">
        <v>1111</v>
      </c>
      <c r="B38" s="318"/>
      <c r="C38" s="318"/>
    </row>
    <row r="39" spans="1:3" ht="15.75" customHeight="1">
      <c r="A39" s="318" t="s">
        <v>1112</v>
      </c>
      <c r="B39" s="318"/>
      <c r="C39" s="318"/>
    </row>
    <row r="40" spans="1:3" ht="24" customHeight="1">
      <c r="A40" s="319" t="s">
        <v>1113</v>
      </c>
      <c r="B40" s="319"/>
      <c r="C40" s="319"/>
    </row>
    <row r="41" spans="1:3" ht="15">
      <c r="A41" s="320"/>
      <c r="B41" s="320"/>
      <c r="C41" s="320"/>
    </row>
    <row r="42" ht="15">
      <c r="A42" s="273"/>
    </row>
    <row r="44" spans="1:3" ht="15">
      <c r="A44" s="314" t="s">
        <v>1134</v>
      </c>
      <c r="B44" s="314"/>
      <c r="C44" s="314"/>
    </row>
    <row r="45" ht="15">
      <c r="A45" s="273"/>
    </row>
    <row r="46" spans="1:3" ht="31.5" customHeight="1">
      <c r="A46" s="313" t="s">
        <v>1115</v>
      </c>
      <c r="B46" s="313"/>
      <c r="C46" s="313"/>
    </row>
    <row r="47" ht="15">
      <c r="A47" s="273"/>
    </row>
    <row r="48" spans="1:3" ht="15">
      <c r="A48" s="315" t="s">
        <v>1118</v>
      </c>
      <c r="B48" s="312" t="s">
        <v>1116</v>
      </c>
      <c r="C48" s="312"/>
    </row>
    <row r="49" spans="1:3" ht="15">
      <c r="A49" s="315"/>
      <c r="B49" s="312"/>
      <c r="C49" s="312"/>
    </row>
    <row r="50" spans="1:3" ht="15">
      <c r="A50" s="315" t="s">
        <v>1119</v>
      </c>
      <c r="B50" s="312" t="s">
        <v>1116</v>
      </c>
      <c r="C50" s="312"/>
    </row>
    <row r="51" spans="1:3" ht="15">
      <c r="A51" s="315"/>
      <c r="B51" s="312"/>
      <c r="C51" s="312"/>
    </row>
    <row r="52" spans="1:3" ht="15">
      <c r="A52" s="315" t="s">
        <v>1120</v>
      </c>
      <c r="B52" s="312"/>
      <c r="C52" s="312"/>
    </row>
    <row r="53" spans="1:3" ht="15">
      <c r="A53" s="315"/>
      <c r="B53" s="312"/>
      <c r="C53" s="312"/>
    </row>
    <row r="54" spans="1:3" ht="24.75" customHeight="1">
      <c r="A54" s="311" t="s">
        <v>1121</v>
      </c>
      <c r="B54" s="312" t="s">
        <v>999</v>
      </c>
      <c r="C54" s="312"/>
    </row>
    <row r="55" spans="1:3" ht="24.75" customHeight="1">
      <c r="A55" s="311"/>
      <c r="B55" s="312"/>
      <c r="C55" s="312"/>
    </row>
    <row r="56" spans="1:3" ht="24.75" customHeight="1">
      <c r="A56" s="311" t="s">
        <v>1122</v>
      </c>
      <c r="B56" s="312" t="s">
        <v>999</v>
      </c>
      <c r="C56" s="312"/>
    </row>
    <row r="57" spans="1:3" ht="24.75" customHeight="1">
      <c r="A57" s="311"/>
      <c r="B57" s="312"/>
      <c r="C57" s="312"/>
    </row>
    <row r="58" spans="1:3" ht="24.75" customHeight="1">
      <c r="A58" s="311" t="s">
        <v>1123</v>
      </c>
      <c r="B58" s="312" t="s">
        <v>999</v>
      </c>
      <c r="C58" s="312"/>
    </row>
    <row r="59" spans="1:3" ht="24.75" customHeight="1">
      <c r="A59" s="311"/>
      <c r="B59" s="312"/>
      <c r="C59" s="312"/>
    </row>
    <row r="60" spans="1:3" ht="30" customHeight="1">
      <c r="A60" s="311" t="s">
        <v>1124</v>
      </c>
      <c r="B60" s="312" t="s">
        <v>999</v>
      </c>
      <c r="C60" s="312"/>
    </row>
    <row r="61" spans="1:3" ht="30" customHeight="1">
      <c r="A61" s="311"/>
      <c r="B61" s="312"/>
      <c r="C61" s="312"/>
    </row>
    <row r="62" spans="1:3" ht="15">
      <c r="A62" s="311" t="s">
        <v>1125</v>
      </c>
      <c r="B62" s="312" t="s">
        <v>1394</v>
      </c>
      <c r="C62" s="312"/>
    </row>
    <row r="63" spans="1:3" ht="15">
      <c r="A63" s="311"/>
      <c r="B63" s="312"/>
      <c r="C63" s="312"/>
    </row>
    <row r="64" spans="1:3" ht="24.75" customHeight="1">
      <c r="A64" s="311" t="s">
        <v>1126</v>
      </c>
      <c r="B64" s="312" t="s">
        <v>1394</v>
      </c>
      <c r="C64" s="312"/>
    </row>
    <row r="65" spans="1:3" ht="24.75" customHeight="1">
      <c r="A65" s="311"/>
      <c r="B65" s="312"/>
      <c r="C65" s="312"/>
    </row>
    <row r="66" spans="1:3" ht="15">
      <c r="A66" s="315" t="s">
        <v>1127</v>
      </c>
      <c r="B66" s="312" t="s">
        <v>1116</v>
      </c>
      <c r="C66" s="312"/>
    </row>
    <row r="67" spans="1:3" ht="15">
      <c r="A67" s="315"/>
      <c r="B67" s="312"/>
      <c r="C67" s="312"/>
    </row>
    <row r="68" spans="1:3" ht="15">
      <c r="A68" s="315" t="s">
        <v>1128</v>
      </c>
      <c r="B68" s="312" t="s">
        <v>1116</v>
      </c>
      <c r="C68" s="312"/>
    </row>
    <row r="69" spans="1:3" ht="15">
      <c r="A69" s="315"/>
      <c r="B69" s="312"/>
      <c r="C69" s="312"/>
    </row>
    <row r="70" spans="1:3" ht="15">
      <c r="A70" s="315" t="s">
        <v>1129</v>
      </c>
      <c r="B70" s="312" t="s">
        <v>1116</v>
      </c>
      <c r="C70" s="312"/>
    </row>
    <row r="71" spans="1:3" ht="15">
      <c r="A71" s="315"/>
      <c r="B71" s="312"/>
      <c r="C71" s="312"/>
    </row>
    <row r="72" spans="1:3" ht="45" customHeight="1">
      <c r="A72" s="315" t="s">
        <v>1130</v>
      </c>
      <c r="B72" s="312" t="s">
        <v>1395</v>
      </c>
      <c r="C72" s="312"/>
    </row>
    <row r="73" spans="1:3" ht="45" customHeight="1">
      <c r="A73" s="315"/>
      <c r="B73" s="312"/>
      <c r="C73" s="312"/>
    </row>
    <row r="74" spans="1:3" ht="23.25" customHeight="1">
      <c r="A74" s="315" t="s">
        <v>1131</v>
      </c>
      <c r="B74" s="312" t="s">
        <v>1117</v>
      </c>
      <c r="C74" s="312"/>
    </row>
    <row r="75" spans="1:3" ht="23.25" customHeight="1">
      <c r="A75" s="315"/>
      <c r="B75" s="312"/>
      <c r="C75" s="312"/>
    </row>
    <row r="76" spans="1:3" ht="15">
      <c r="A76" s="316"/>
      <c r="B76" s="312"/>
      <c r="C76" s="312"/>
    </row>
    <row r="77" spans="1:3" ht="15">
      <c r="A77" s="316"/>
      <c r="B77" s="312"/>
      <c r="C77" s="312"/>
    </row>
    <row r="78" ht="15">
      <c r="A78" s="274"/>
    </row>
  </sheetData>
  <sheetProtection/>
  <mergeCells count="68">
    <mergeCell ref="A1:A6"/>
    <mergeCell ref="B1:C1"/>
    <mergeCell ref="B2:C2"/>
    <mergeCell ref="B3:C3"/>
    <mergeCell ref="B4:C4"/>
    <mergeCell ref="B5:C5"/>
    <mergeCell ref="B6:C6"/>
    <mergeCell ref="A7:A10"/>
    <mergeCell ref="B7:C10"/>
    <mergeCell ref="A13:C13"/>
    <mergeCell ref="A14:C14"/>
    <mergeCell ref="A15:C15"/>
    <mergeCell ref="A16:C16"/>
    <mergeCell ref="A17:C18"/>
    <mergeCell ref="B19:C19"/>
    <mergeCell ref="A20:A21"/>
    <mergeCell ref="B20:C21"/>
    <mergeCell ref="A22:A23"/>
    <mergeCell ref="A24:A25"/>
    <mergeCell ref="B24:C25"/>
    <mergeCell ref="B26:C26"/>
    <mergeCell ref="A27:A28"/>
    <mergeCell ref="B27:C28"/>
    <mergeCell ref="A29:A30"/>
    <mergeCell ref="B29:C30"/>
    <mergeCell ref="A31:C31"/>
    <mergeCell ref="A32:C32"/>
    <mergeCell ref="A33:C33"/>
    <mergeCell ref="A34:C34"/>
    <mergeCell ref="A35:C35"/>
    <mergeCell ref="A36:C36"/>
    <mergeCell ref="A50:A51"/>
    <mergeCell ref="A52:A53"/>
    <mergeCell ref="A54:A55"/>
    <mergeCell ref="A37:C37"/>
    <mergeCell ref="A38:C38"/>
    <mergeCell ref="A39:C39"/>
    <mergeCell ref="A40:C40"/>
    <mergeCell ref="A41:C41"/>
    <mergeCell ref="A48:A49"/>
    <mergeCell ref="B52:C53"/>
    <mergeCell ref="B54:C55"/>
    <mergeCell ref="A66:A67"/>
    <mergeCell ref="B62:C63"/>
    <mergeCell ref="B64:C65"/>
    <mergeCell ref="B66:C67"/>
    <mergeCell ref="A56:A57"/>
    <mergeCell ref="A58:A59"/>
    <mergeCell ref="A60:A61"/>
    <mergeCell ref="B60:C61"/>
    <mergeCell ref="B56:C57"/>
    <mergeCell ref="B58:C59"/>
    <mergeCell ref="A68:A69"/>
    <mergeCell ref="A70:A71"/>
    <mergeCell ref="A72:A73"/>
    <mergeCell ref="B68:C69"/>
    <mergeCell ref="B70:C71"/>
    <mergeCell ref="B72:C73"/>
    <mergeCell ref="A62:A63"/>
    <mergeCell ref="A64:A65"/>
    <mergeCell ref="B74:C75"/>
    <mergeCell ref="B76:C77"/>
    <mergeCell ref="A46:C46"/>
    <mergeCell ref="A44:C44"/>
    <mergeCell ref="A74:A75"/>
    <mergeCell ref="A76:A77"/>
    <mergeCell ref="B48:C49"/>
    <mergeCell ref="B50:C51"/>
  </mergeCells>
  <printOptions horizontalCentered="1"/>
  <pageMargins left="0.7086614173228347" right="0.7086614173228347" top="0.7480314960629921" bottom="0.7480314960629921" header="0.31496062992125984" footer="0.31496062992125984"/>
  <pageSetup horizontalDpi="600" verticalDpi="600" orientation="portrait" paperSize="9" r:id="rId2"/>
  <rowBreaks count="1" manualBreakCount="1">
    <brk id="41" max="255" man="1"/>
  </rowBreaks>
  <drawing r:id="rId1"/>
</worksheet>
</file>

<file path=xl/worksheets/sheet10.xml><?xml version="1.0" encoding="utf-8"?>
<worksheet xmlns="http://schemas.openxmlformats.org/spreadsheetml/2006/main" xmlns:r="http://schemas.openxmlformats.org/officeDocument/2006/relationships">
  <dimension ref="A1:BO79"/>
  <sheetViews>
    <sheetView view="pageBreakPreview" zoomScaleSheetLayoutView="100" zoomScalePageLayoutView="0" workbookViewId="0" topLeftCell="AY1">
      <selection activeCell="BK2" sqref="BK2"/>
    </sheetView>
  </sheetViews>
  <sheetFormatPr defaultColWidth="9.140625" defaultRowHeight="15"/>
  <cols>
    <col min="1" max="1" width="4.421875" style="67" customWidth="1"/>
    <col min="2" max="2" width="4.140625" style="61" customWidth="1"/>
    <col min="3" max="3" width="5.7109375" style="61" customWidth="1"/>
    <col min="4" max="5" width="8.7109375" style="61" customWidth="1"/>
    <col min="6" max="7" width="10.7109375" style="61" customWidth="1"/>
    <col min="8" max="8" width="78.7109375" style="61" customWidth="1"/>
    <col min="9" max="17" width="15.7109375" style="61" customWidth="1"/>
    <col min="18" max="18" width="4.421875" style="67" customWidth="1"/>
    <col min="19" max="19" width="4.140625" style="61" customWidth="1"/>
    <col min="20" max="20" width="5.7109375" style="61" customWidth="1"/>
    <col min="21" max="22" width="8.7109375" style="61" customWidth="1"/>
    <col min="23" max="24" width="10.7109375" style="61" customWidth="1"/>
    <col min="25" max="25" width="78.7109375" style="61" customWidth="1"/>
    <col min="26" max="34" width="15.7109375" style="61" customWidth="1"/>
    <col min="35" max="35" width="4.421875" style="67" customWidth="1"/>
    <col min="36" max="36" width="4.140625" style="61" customWidth="1"/>
    <col min="37" max="37" width="5.7109375" style="61" customWidth="1"/>
    <col min="38" max="39" width="8.7109375" style="61" customWidth="1"/>
    <col min="40" max="41" width="10.7109375" style="61" customWidth="1"/>
    <col min="42" max="42" width="78.7109375" style="61" customWidth="1"/>
    <col min="43" max="51" width="15.7109375" style="61" customWidth="1"/>
    <col min="52" max="52" width="4.421875" style="67" customWidth="1"/>
    <col min="53" max="53" width="4.140625" style="61" customWidth="1"/>
    <col min="54" max="54" width="5.7109375" style="61" customWidth="1"/>
    <col min="55" max="56" width="8.7109375" style="61" customWidth="1"/>
    <col min="57" max="58" width="10.7109375" style="61" customWidth="1"/>
    <col min="59" max="59" width="78.7109375" style="61" customWidth="1"/>
    <col min="60" max="63" width="20.7109375" style="61" customWidth="1"/>
    <col min="64" max="16384" width="9.140625" style="61" customWidth="1"/>
  </cols>
  <sheetData>
    <row r="1" spans="17:63" ht="15" customHeight="1">
      <c r="Q1" s="60" t="s">
        <v>1402</v>
      </c>
      <c r="AH1" s="60" t="s">
        <v>1402</v>
      </c>
      <c r="AY1" s="60" t="s">
        <v>1402</v>
      </c>
      <c r="BH1" s="60"/>
      <c r="BI1" s="60"/>
      <c r="BJ1" s="60"/>
      <c r="BK1" s="60" t="s">
        <v>1402</v>
      </c>
    </row>
    <row r="2" ht="15" customHeight="1"/>
    <row r="3" spans="17:63" ht="15" customHeight="1" thickBot="1">
      <c r="Q3" s="60" t="s">
        <v>8</v>
      </c>
      <c r="AH3" s="60" t="s">
        <v>8</v>
      </c>
      <c r="AY3" s="60" t="s">
        <v>8</v>
      </c>
      <c r="BK3" s="60" t="s">
        <v>8</v>
      </c>
    </row>
    <row r="4" spans="1:63" s="65" customFormat="1" ht="15" customHeight="1" thickBot="1">
      <c r="A4" s="64"/>
      <c r="B4" s="66" t="s">
        <v>9</v>
      </c>
      <c r="C4" s="66" t="s">
        <v>10</v>
      </c>
      <c r="D4" s="66" t="s">
        <v>11</v>
      </c>
      <c r="E4" s="338" t="s">
        <v>12</v>
      </c>
      <c r="F4" s="339"/>
      <c r="G4" s="339"/>
      <c r="H4" s="340"/>
      <c r="I4" s="66" t="s">
        <v>13</v>
      </c>
      <c r="J4" s="66" t="s">
        <v>124</v>
      </c>
      <c r="K4" s="66" t="s">
        <v>125</v>
      </c>
      <c r="L4" s="66" t="s">
        <v>126</v>
      </c>
      <c r="M4" s="66" t="s">
        <v>127</v>
      </c>
      <c r="N4" s="66" t="s">
        <v>128</v>
      </c>
      <c r="O4" s="66" t="s">
        <v>129</v>
      </c>
      <c r="P4" s="66" t="s">
        <v>132</v>
      </c>
      <c r="Q4" s="66" t="s">
        <v>133</v>
      </c>
      <c r="R4" s="64"/>
      <c r="S4" s="66" t="s">
        <v>134</v>
      </c>
      <c r="T4" s="66" t="s">
        <v>135</v>
      </c>
      <c r="U4" s="66" t="s">
        <v>136</v>
      </c>
      <c r="V4" s="338" t="s">
        <v>137</v>
      </c>
      <c r="W4" s="339"/>
      <c r="X4" s="339"/>
      <c r="Y4" s="340"/>
      <c r="Z4" s="66" t="s">
        <v>138</v>
      </c>
      <c r="AA4" s="66" t="s">
        <v>139</v>
      </c>
      <c r="AB4" s="66" t="s">
        <v>140</v>
      </c>
      <c r="AC4" s="66" t="s">
        <v>141</v>
      </c>
      <c r="AD4" s="66" t="s">
        <v>142</v>
      </c>
      <c r="AE4" s="66" t="s">
        <v>143</v>
      </c>
      <c r="AF4" s="66" t="s">
        <v>144</v>
      </c>
      <c r="AG4" s="66" t="s">
        <v>145</v>
      </c>
      <c r="AH4" s="66" t="s">
        <v>146</v>
      </c>
      <c r="AI4" s="64"/>
      <c r="AJ4" s="66" t="s">
        <v>147</v>
      </c>
      <c r="AK4" s="66" t="s">
        <v>148</v>
      </c>
      <c r="AL4" s="66" t="s">
        <v>149</v>
      </c>
      <c r="AM4" s="338" t="s">
        <v>150</v>
      </c>
      <c r="AN4" s="339"/>
      <c r="AO4" s="339"/>
      <c r="AP4" s="340"/>
      <c r="AQ4" s="66" t="s">
        <v>151</v>
      </c>
      <c r="AR4" s="66" t="s">
        <v>889</v>
      </c>
      <c r="AS4" s="66" t="s">
        <v>125</v>
      </c>
      <c r="AT4" s="66" t="s">
        <v>154</v>
      </c>
      <c r="AU4" s="66" t="s">
        <v>155</v>
      </c>
      <c r="AV4" s="66" t="s">
        <v>156</v>
      </c>
      <c r="AW4" s="66" t="s">
        <v>157</v>
      </c>
      <c r="AX4" s="66" t="s">
        <v>158</v>
      </c>
      <c r="AY4" s="66" t="s">
        <v>159</v>
      </c>
      <c r="AZ4" s="64"/>
      <c r="BA4" s="66" t="s">
        <v>160</v>
      </c>
      <c r="BB4" s="66" t="s">
        <v>161</v>
      </c>
      <c r="BC4" s="66" t="s">
        <v>162</v>
      </c>
      <c r="BD4" s="338" t="s">
        <v>163</v>
      </c>
      <c r="BE4" s="339"/>
      <c r="BF4" s="339"/>
      <c r="BG4" s="340"/>
      <c r="BH4" s="243" t="s">
        <v>226</v>
      </c>
      <c r="BI4" s="243" t="s">
        <v>227</v>
      </c>
      <c r="BJ4" s="243" t="s">
        <v>228</v>
      </c>
      <c r="BK4" s="66" t="s">
        <v>231</v>
      </c>
    </row>
    <row r="5" spans="1:67" ht="42" customHeight="1" thickBot="1">
      <c r="A5" s="64" t="s">
        <v>20</v>
      </c>
      <c r="B5" s="387" t="s">
        <v>649</v>
      </c>
      <c r="C5" s="388"/>
      <c r="D5" s="388"/>
      <c r="E5" s="388"/>
      <c r="F5" s="388"/>
      <c r="G5" s="388"/>
      <c r="H5" s="388"/>
      <c r="I5" s="388"/>
      <c r="J5" s="388"/>
      <c r="K5" s="388"/>
      <c r="L5" s="388"/>
      <c r="M5" s="388"/>
      <c r="N5" s="388"/>
      <c r="O5" s="388"/>
      <c r="P5" s="388"/>
      <c r="Q5" s="389"/>
      <c r="R5" s="64" t="s">
        <v>183</v>
      </c>
      <c r="S5" s="341" t="s">
        <v>649</v>
      </c>
      <c r="T5" s="342"/>
      <c r="U5" s="342"/>
      <c r="V5" s="342"/>
      <c r="W5" s="342"/>
      <c r="X5" s="342"/>
      <c r="Y5" s="342"/>
      <c r="Z5" s="342"/>
      <c r="AA5" s="342"/>
      <c r="AB5" s="342"/>
      <c r="AC5" s="342"/>
      <c r="AD5" s="342"/>
      <c r="AE5" s="342"/>
      <c r="AF5" s="342"/>
      <c r="AG5" s="342"/>
      <c r="AH5" s="342"/>
      <c r="AI5" s="64" t="s">
        <v>284</v>
      </c>
      <c r="AJ5" s="341" t="s">
        <v>649</v>
      </c>
      <c r="AK5" s="342"/>
      <c r="AL5" s="342"/>
      <c r="AM5" s="342"/>
      <c r="AN5" s="342"/>
      <c r="AO5" s="342"/>
      <c r="AP5" s="342"/>
      <c r="AQ5" s="342"/>
      <c r="AR5" s="342"/>
      <c r="AS5" s="342"/>
      <c r="AT5" s="342"/>
      <c r="AU5" s="342"/>
      <c r="AV5" s="342"/>
      <c r="AW5" s="342"/>
      <c r="AX5" s="342"/>
      <c r="AY5" s="342"/>
      <c r="AZ5" s="64" t="s">
        <v>360</v>
      </c>
      <c r="BA5" s="376" t="s">
        <v>649</v>
      </c>
      <c r="BB5" s="376"/>
      <c r="BC5" s="376"/>
      <c r="BD5" s="376"/>
      <c r="BE5" s="376"/>
      <c r="BF5" s="376"/>
      <c r="BG5" s="376"/>
      <c r="BH5" s="376"/>
      <c r="BI5" s="376"/>
      <c r="BJ5" s="376"/>
      <c r="BK5" s="376"/>
      <c r="BL5" s="230"/>
      <c r="BM5" s="230"/>
      <c r="BN5" s="230"/>
      <c r="BO5" s="230"/>
    </row>
    <row r="6" spans="1:63" ht="16.5" thickBot="1">
      <c r="A6" s="64" t="s">
        <v>21</v>
      </c>
      <c r="B6" s="379" t="s">
        <v>123</v>
      </c>
      <c r="C6" s="380"/>
      <c r="D6" s="380"/>
      <c r="E6" s="380"/>
      <c r="F6" s="380"/>
      <c r="G6" s="380"/>
      <c r="H6" s="381"/>
      <c r="I6" s="386" t="s">
        <v>540</v>
      </c>
      <c r="J6" s="385"/>
      <c r="K6" s="385"/>
      <c r="L6" s="385"/>
      <c r="M6" s="385"/>
      <c r="N6" s="385"/>
      <c r="O6" s="385"/>
      <c r="P6" s="385"/>
      <c r="Q6" s="385"/>
      <c r="R6" s="64" t="s">
        <v>184</v>
      </c>
      <c r="S6" s="379" t="s">
        <v>123</v>
      </c>
      <c r="T6" s="380"/>
      <c r="U6" s="380"/>
      <c r="V6" s="380"/>
      <c r="W6" s="380"/>
      <c r="X6" s="380"/>
      <c r="Y6" s="381"/>
      <c r="Z6" s="386" t="s">
        <v>540</v>
      </c>
      <c r="AA6" s="385"/>
      <c r="AB6" s="385"/>
      <c r="AC6" s="385"/>
      <c r="AD6" s="385"/>
      <c r="AE6" s="385"/>
      <c r="AF6" s="385"/>
      <c r="AG6" s="385"/>
      <c r="AH6" s="385"/>
      <c r="AI6" s="64" t="s">
        <v>285</v>
      </c>
      <c r="AJ6" s="379" t="s">
        <v>123</v>
      </c>
      <c r="AK6" s="380"/>
      <c r="AL6" s="380"/>
      <c r="AM6" s="380"/>
      <c r="AN6" s="380"/>
      <c r="AO6" s="380"/>
      <c r="AP6" s="381"/>
      <c r="AQ6" s="385" t="s">
        <v>541</v>
      </c>
      <c r="AR6" s="385"/>
      <c r="AS6" s="385"/>
      <c r="AT6" s="385"/>
      <c r="AU6" s="385"/>
      <c r="AV6" s="385"/>
      <c r="AW6" s="385"/>
      <c r="AX6" s="385"/>
      <c r="AY6" s="385"/>
      <c r="AZ6" s="64" t="s">
        <v>361</v>
      </c>
      <c r="BA6" s="379" t="s">
        <v>123</v>
      </c>
      <c r="BB6" s="380"/>
      <c r="BC6" s="380"/>
      <c r="BD6" s="380"/>
      <c r="BE6" s="380"/>
      <c r="BF6" s="380"/>
      <c r="BG6" s="381"/>
      <c r="BH6" s="385" t="s">
        <v>541</v>
      </c>
      <c r="BI6" s="385"/>
      <c r="BJ6" s="385"/>
      <c r="BK6" s="377" t="s">
        <v>122</v>
      </c>
    </row>
    <row r="7" spans="1:63" ht="195.75" thickBot="1">
      <c r="A7" s="64" t="s">
        <v>22</v>
      </c>
      <c r="B7" s="382"/>
      <c r="C7" s="383"/>
      <c r="D7" s="383"/>
      <c r="E7" s="383"/>
      <c r="F7" s="383"/>
      <c r="G7" s="383"/>
      <c r="H7" s="384"/>
      <c r="I7" s="105" t="s">
        <v>530</v>
      </c>
      <c r="J7" s="105" t="s">
        <v>943</v>
      </c>
      <c r="K7" s="105" t="s">
        <v>531</v>
      </c>
      <c r="L7" s="105" t="s">
        <v>888</v>
      </c>
      <c r="M7" s="105" t="s">
        <v>532</v>
      </c>
      <c r="N7" s="105" t="s">
        <v>598</v>
      </c>
      <c r="O7" s="105" t="s">
        <v>533</v>
      </c>
      <c r="P7" s="105" t="s">
        <v>534</v>
      </c>
      <c r="Q7" s="105" t="s">
        <v>535</v>
      </c>
      <c r="R7" s="64" t="s">
        <v>185</v>
      </c>
      <c r="S7" s="382"/>
      <c r="T7" s="383"/>
      <c r="U7" s="383"/>
      <c r="V7" s="383"/>
      <c r="W7" s="383"/>
      <c r="X7" s="383"/>
      <c r="Y7" s="384"/>
      <c r="Z7" s="105" t="s">
        <v>887</v>
      </c>
      <c r="AA7" s="105" t="s">
        <v>599</v>
      </c>
      <c r="AB7" s="105" t="s">
        <v>536</v>
      </c>
      <c r="AC7" s="105" t="s">
        <v>537</v>
      </c>
      <c r="AD7" s="105" t="s">
        <v>538</v>
      </c>
      <c r="AE7" s="105" t="s">
        <v>870</v>
      </c>
      <c r="AF7" s="105" t="s">
        <v>944</v>
      </c>
      <c r="AG7" s="105" t="s">
        <v>871</v>
      </c>
      <c r="AH7" s="253" t="s">
        <v>539</v>
      </c>
      <c r="AI7" s="64" t="s">
        <v>286</v>
      </c>
      <c r="AJ7" s="382"/>
      <c r="AK7" s="383"/>
      <c r="AL7" s="383"/>
      <c r="AM7" s="383"/>
      <c r="AN7" s="383"/>
      <c r="AO7" s="383"/>
      <c r="AP7" s="384"/>
      <c r="AQ7" s="246" t="s">
        <v>542</v>
      </c>
      <c r="AR7" s="245" t="s">
        <v>547</v>
      </c>
      <c r="AS7" s="245" t="s">
        <v>600</v>
      </c>
      <c r="AT7" s="245" t="s">
        <v>543</v>
      </c>
      <c r="AU7" s="245" t="s">
        <v>886</v>
      </c>
      <c r="AV7" s="245" t="s">
        <v>544</v>
      </c>
      <c r="AW7" s="245" t="s">
        <v>545</v>
      </c>
      <c r="AX7" s="250" t="s">
        <v>551</v>
      </c>
      <c r="AY7" s="245" t="s">
        <v>548</v>
      </c>
      <c r="AZ7" s="64" t="s">
        <v>362</v>
      </c>
      <c r="BA7" s="382"/>
      <c r="BB7" s="383"/>
      <c r="BC7" s="383"/>
      <c r="BD7" s="383"/>
      <c r="BE7" s="383"/>
      <c r="BF7" s="383"/>
      <c r="BG7" s="384"/>
      <c r="BH7" s="247" t="s">
        <v>549</v>
      </c>
      <c r="BI7" s="105" t="s">
        <v>550</v>
      </c>
      <c r="BJ7" s="264" t="s">
        <v>546</v>
      </c>
      <c r="BK7" s="378"/>
    </row>
    <row r="8" spans="1:63" s="134" customFormat="1" ht="15" customHeight="1" thickBot="1">
      <c r="A8" s="64" t="s">
        <v>23</v>
      </c>
      <c r="B8" s="130" t="s">
        <v>99</v>
      </c>
      <c r="C8" s="131" t="s">
        <v>100</v>
      </c>
      <c r="D8" s="132"/>
      <c r="E8" s="132"/>
      <c r="F8" s="132"/>
      <c r="G8" s="132"/>
      <c r="H8" s="132"/>
      <c r="I8" s="133">
        <f>SUM(I9,I13,I20,I30)</f>
        <v>500</v>
      </c>
      <c r="J8" s="133">
        <f aca="true" t="shared" si="0" ref="J8:Q8">SUM(J9,J13,J20,J30)</f>
        <v>186879</v>
      </c>
      <c r="K8" s="133">
        <f t="shared" si="0"/>
        <v>0</v>
      </c>
      <c r="L8" s="133">
        <f t="shared" si="0"/>
        <v>0</v>
      </c>
      <c r="M8" s="133">
        <f t="shared" si="0"/>
        <v>75103</v>
      </c>
      <c r="N8" s="133">
        <f t="shared" si="0"/>
        <v>11144</v>
      </c>
      <c r="O8" s="133">
        <f t="shared" si="0"/>
        <v>42711</v>
      </c>
      <c r="P8" s="133">
        <f t="shared" si="0"/>
        <v>76853</v>
      </c>
      <c r="Q8" s="133">
        <f t="shared" si="0"/>
        <v>0</v>
      </c>
      <c r="R8" s="64" t="s">
        <v>186</v>
      </c>
      <c r="S8" s="130" t="s">
        <v>99</v>
      </c>
      <c r="T8" s="131" t="s">
        <v>100</v>
      </c>
      <c r="U8" s="132"/>
      <c r="V8" s="132"/>
      <c r="W8" s="132"/>
      <c r="X8" s="132"/>
      <c r="Y8" s="212"/>
      <c r="Z8" s="133">
        <f aca="true" t="shared" si="1" ref="Z8:AG8">SUM(Z9,Z13,Z20,Z30)</f>
        <v>33581</v>
      </c>
      <c r="AA8" s="204">
        <f t="shared" si="1"/>
        <v>69456</v>
      </c>
      <c r="AB8" s="204">
        <f t="shared" si="1"/>
        <v>2918849</v>
      </c>
      <c r="AC8" s="204">
        <f t="shared" si="1"/>
        <v>636</v>
      </c>
      <c r="AD8" s="204">
        <f>SUM(AD9,AD13,AD20,AD30)</f>
        <v>0</v>
      </c>
      <c r="AE8" s="204">
        <f>SUM(AE9,AE13,AE20,AE30)</f>
        <v>43041</v>
      </c>
      <c r="AF8" s="204">
        <f>SUM(AF9,AF13,AF20,AF30)</f>
        <v>14556</v>
      </c>
      <c r="AG8" s="204">
        <f t="shared" si="1"/>
        <v>3596</v>
      </c>
      <c r="AH8" s="254">
        <f>SUM(I8:Q8,Z8:AG8)</f>
        <v>3476905</v>
      </c>
      <c r="AI8" s="64" t="s">
        <v>287</v>
      </c>
      <c r="AJ8" s="130" t="s">
        <v>99</v>
      </c>
      <c r="AK8" s="131" t="s">
        <v>100</v>
      </c>
      <c r="AL8" s="132"/>
      <c r="AM8" s="132"/>
      <c r="AN8" s="132"/>
      <c r="AO8" s="132"/>
      <c r="AP8" s="212"/>
      <c r="AQ8" s="133">
        <f aca="true" t="shared" si="2" ref="AQ8:AY8">SUM(AQ9,AQ13,AQ20,AQ30)</f>
        <v>0</v>
      </c>
      <c r="AR8" s="204">
        <f t="shared" si="2"/>
        <v>17500</v>
      </c>
      <c r="AS8" s="204">
        <f t="shared" si="2"/>
        <v>0</v>
      </c>
      <c r="AT8" s="204">
        <f t="shared" si="2"/>
        <v>3083</v>
      </c>
      <c r="AU8" s="204">
        <f t="shared" si="2"/>
        <v>0</v>
      </c>
      <c r="AV8" s="204">
        <f t="shared" si="2"/>
        <v>0</v>
      </c>
      <c r="AW8" s="204">
        <f t="shared" si="2"/>
        <v>2700</v>
      </c>
      <c r="AX8" s="204">
        <f t="shared" si="2"/>
        <v>0</v>
      </c>
      <c r="AY8" s="204">
        <f t="shared" si="2"/>
        <v>0</v>
      </c>
      <c r="AZ8" s="64" t="s">
        <v>363</v>
      </c>
      <c r="BA8" s="130" t="s">
        <v>99</v>
      </c>
      <c r="BB8" s="131" t="s">
        <v>100</v>
      </c>
      <c r="BC8" s="132"/>
      <c r="BD8" s="132"/>
      <c r="BE8" s="132"/>
      <c r="BF8" s="132"/>
      <c r="BG8" s="212"/>
      <c r="BH8" s="232">
        <f>SUM(BH9,BH13,BH20,BH30)</f>
        <v>0</v>
      </c>
      <c r="BI8" s="232">
        <f>SUM(BI9,BI13,BI20,BI30)</f>
        <v>0</v>
      </c>
      <c r="BJ8" s="254">
        <f>SUM(AQ8:AY8,BH8:BI8)</f>
        <v>23283</v>
      </c>
      <c r="BK8" s="204">
        <f>SUM(AH8,BJ8)</f>
        <v>3500188</v>
      </c>
    </row>
    <row r="9" spans="1:63" s="134" customFormat="1" ht="15" customHeight="1" thickBot="1">
      <c r="A9" s="64" t="s">
        <v>24</v>
      </c>
      <c r="B9" s="135"/>
      <c r="C9" s="136" t="s">
        <v>101</v>
      </c>
      <c r="D9" s="140" t="s">
        <v>564</v>
      </c>
      <c r="E9" s="141"/>
      <c r="F9" s="141"/>
      <c r="G9" s="141"/>
      <c r="H9" s="141"/>
      <c r="I9" s="142">
        <f>SUM(I10:I12)</f>
        <v>0</v>
      </c>
      <c r="J9" s="205">
        <f aca="true" t="shared" si="3" ref="J9:Q9">SUM(J10:J12)</f>
        <v>0</v>
      </c>
      <c r="K9" s="205">
        <f t="shared" si="3"/>
        <v>0</v>
      </c>
      <c r="L9" s="205">
        <f>SUM(L10:L12)</f>
        <v>0</v>
      </c>
      <c r="M9" s="205">
        <f t="shared" si="3"/>
        <v>0</v>
      </c>
      <c r="N9" s="205">
        <f t="shared" si="3"/>
        <v>3000</v>
      </c>
      <c r="O9" s="205">
        <f t="shared" si="3"/>
        <v>38196</v>
      </c>
      <c r="P9" s="205">
        <f t="shared" si="3"/>
        <v>0</v>
      </c>
      <c r="Q9" s="205">
        <f t="shared" si="3"/>
        <v>0</v>
      </c>
      <c r="R9" s="64" t="s">
        <v>187</v>
      </c>
      <c r="S9" s="135"/>
      <c r="T9" s="136" t="s">
        <v>101</v>
      </c>
      <c r="U9" s="140" t="s">
        <v>564</v>
      </c>
      <c r="V9" s="141"/>
      <c r="W9" s="141"/>
      <c r="X9" s="141"/>
      <c r="Y9" s="213"/>
      <c r="Z9" s="205">
        <f aca="true" t="shared" si="4" ref="Z9:AG9">SUM(Z10:Z12)</f>
        <v>0</v>
      </c>
      <c r="AA9" s="205">
        <f t="shared" si="4"/>
        <v>69456</v>
      </c>
      <c r="AB9" s="205">
        <f t="shared" si="4"/>
        <v>812748</v>
      </c>
      <c r="AC9" s="205">
        <f t="shared" si="4"/>
        <v>0</v>
      </c>
      <c r="AD9" s="205">
        <f>SUM(AD10:AD12)</f>
        <v>0</v>
      </c>
      <c r="AE9" s="205">
        <f>SUM(AE10:AE12)</f>
        <v>43041</v>
      </c>
      <c r="AF9" s="205">
        <f>SUM(AF10:AF12)</f>
        <v>14256</v>
      </c>
      <c r="AG9" s="205">
        <f t="shared" si="4"/>
        <v>3596</v>
      </c>
      <c r="AH9" s="254">
        <f aca="true" t="shared" si="5" ref="AH9:AH51">SUM(I9:Q9,Z9:AG9)</f>
        <v>984293</v>
      </c>
      <c r="AI9" s="64" t="s">
        <v>288</v>
      </c>
      <c r="AJ9" s="135"/>
      <c r="AK9" s="136" t="s">
        <v>101</v>
      </c>
      <c r="AL9" s="140" t="s">
        <v>564</v>
      </c>
      <c r="AM9" s="141"/>
      <c r="AN9" s="141"/>
      <c r="AO9" s="141"/>
      <c r="AP9" s="213"/>
      <c r="AQ9" s="205">
        <f aca="true" t="shared" si="6" ref="AQ9:AY9">SUM(AQ10:AQ12)</f>
        <v>0</v>
      </c>
      <c r="AR9" s="205">
        <f t="shared" si="6"/>
        <v>1500</v>
      </c>
      <c r="AS9" s="205">
        <f t="shared" si="6"/>
        <v>0</v>
      </c>
      <c r="AT9" s="205">
        <f t="shared" si="6"/>
        <v>3083</v>
      </c>
      <c r="AU9" s="205">
        <f t="shared" si="6"/>
        <v>0</v>
      </c>
      <c r="AV9" s="205">
        <f t="shared" si="6"/>
        <v>0</v>
      </c>
      <c r="AW9" s="205">
        <f t="shared" si="6"/>
        <v>2700</v>
      </c>
      <c r="AX9" s="205">
        <f t="shared" si="6"/>
        <v>0</v>
      </c>
      <c r="AY9" s="205">
        <f t="shared" si="6"/>
        <v>0</v>
      </c>
      <c r="AZ9" s="64" t="s">
        <v>364</v>
      </c>
      <c r="BA9" s="135"/>
      <c r="BB9" s="136" t="s">
        <v>101</v>
      </c>
      <c r="BC9" s="140" t="s">
        <v>564</v>
      </c>
      <c r="BD9" s="141"/>
      <c r="BE9" s="141"/>
      <c r="BF9" s="141"/>
      <c r="BG9" s="213"/>
      <c r="BH9" s="233">
        <f>SUM(BH10:BH12)</f>
        <v>0</v>
      </c>
      <c r="BI9" s="233">
        <f>SUM(BI10:BI12)</f>
        <v>0</v>
      </c>
      <c r="BJ9" s="254">
        <f aca="true" t="shared" si="7" ref="BJ9:BJ51">SUM(AQ9:AY9,BH9:BI9)</f>
        <v>7283</v>
      </c>
      <c r="BK9" s="205">
        <f aca="true" t="shared" si="8" ref="BK9:BK51">SUM(AH9,BJ9)</f>
        <v>991576</v>
      </c>
    </row>
    <row r="10" spans="1:63" s="110" customFormat="1" ht="15" customHeight="1" thickBot="1">
      <c r="A10" s="64" t="s">
        <v>25</v>
      </c>
      <c r="B10" s="109"/>
      <c r="C10" s="112"/>
      <c r="D10" s="95" t="s">
        <v>653</v>
      </c>
      <c r="E10" s="364" t="s">
        <v>652</v>
      </c>
      <c r="F10" s="364"/>
      <c r="G10" s="364"/>
      <c r="H10" s="365"/>
      <c r="I10" s="108">
        <f>'3. melléklet'!Z9+'2. melléklet'!BB9+'2. melléklet'!BC9++'2. melléklet'!DB9+'2. melléklet'!AM9</f>
        <v>0</v>
      </c>
      <c r="J10" s="206">
        <f>'2. melléklet'!J9+'2. melléklet'!AN9+'2. melléklet'!AO9+'2. melléklet'!AP9+'2. melléklet'!BE9+'2. melléklet'!BF9+'2. melléklet'!BG9+'3. melléklet'!O9+'3. melléklet'!P9+'3. melléklet'!Y9+'4. melléklet'!I9</f>
        <v>0</v>
      </c>
      <c r="K10" s="206"/>
      <c r="L10" s="206">
        <f>'2. melléklet'!AC9+'2. melléklet'!AQ9</f>
        <v>0</v>
      </c>
      <c r="M10" s="206">
        <f>SUM('4. melléklet'!J9:L9)</f>
        <v>0</v>
      </c>
      <c r="N10" s="206">
        <f>'4. melléklet'!N9</f>
        <v>0</v>
      </c>
      <c r="O10" s="206">
        <f>'4. melléklet'!M9+'2. melléklet'!BR9+'2. melléklet'!BS9+'2. melléklet'!CK9+'2. melléklet'!CW9</f>
        <v>0</v>
      </c>
      <c r="P10" s="206">
        <f>'2. melléklet'!K9+'3. melléklet'!J9</f>
        <v>0</v>
      </c>
      <c r="Q10" s="206"/>
      <c r="R10" s="64" t="s">
        <v>188</v>
      </c>
      <c r="S10" s="109"/>
      <c r="T10" s="112"/>
      <c r="U10" s="95" t="s">
        <v>653</v>
      </c>
      <c r="V10" s="364" t="s">
        <v>652</v>
      </c>
      <c r="W10" s="364"/>
      <c r="X10" s="364"/>
      <c r="Y10" s="365"/>
      <c r="Z10" s="206">
        <f>'2. melléklet'!BD9+'2. melléklet'!AR9</f>
        <v>0</v>
      </c>
      <c r="AA10" s="206">
        <f>SUM('2. melléklet'!Z9:AB9)</f>
        <v>0</v>
      </c>
      <c r="AB10" s="206">
        <f>'3. melléklet'!I9+'3. melléklet'!K9+'3. melléklet'!L9+'3. melléklet'!M9+'2. melléklet'!I9+'2. melléklet'!L9+'2. melléklet'!M9+'2. melléklet'!O9-AE10-AF10-AG10-AW10</f>
        <v>756382</v>
      </c>
      <c r="AC10" s="206">
        <f>SUM('2. melléklet'!BT9:BW9)</f>
        <v>0</v>
      </c>
      <c r="AD10" s="206"/>
      <c r="AE10" s="206">
        <v>43041</v>
      </c>
      <c r="AF10" s="206">
        <v>14256</v>
      </c>
      <c r="AG10" s="206">
        <v>3596</v>
      </c>
      <c r="AH10" s="254">
        <f t="shared" si="5"/>
        <v>817275</v>
      </c>
      <c r="AI10" s="64" t="s">
        <v>289</v>
      </c>
      <c r="AJ10" s="109"/>
      <c r="AK10" s="112"/>
      <c r="AL10" s="95" t="s">
        <v>653</v>
      </c>
      <c r="AM10" s="364" t="s">
        <v>652</v>
      </c>
      <c r="AN10" s="364"/>
      <c r="AO10" s="364"/>
      <c r="AP10" s="365"/>
      <c r="AQ10" s="206"/>
      <c r="AR10" s="206">
        <f>'2. melléklet'!N9</f>
        <v>0</v>
      </c>
      <c r="AS10" s="206"/>
      <c r="AT10" s="206"/>
      <c r="AU10" s="206"/>
      <c r="AV10" s="206"/>
      <c r="AW10" s="206">
        <v>2700</v>
      </c>
      <c r="AX10" s="206"/>
      <c r="AY10" s="206"/>
      <c r="AZ10" s="64" t="s">
        <v>365</v>
      </c>
      <c r="BA10" s="109"/>
      <c r="BB10" s="112"/>
      <c r="BC10" s="95" t="s">
        <v>653</v>
      </c>
      <c r="BD10" s="364" t="s">
        <v>652</v>
      </c>
      <c r="BE10" s="364"/>
      <c r="BF10" s="364"/>
      <c r="BG10" s="365"/>
      <c r="BH10" s="206"/>
      <c r="BI10" s="206"/>
      <c r="BJ10" s="254">
        <f t="shared" si="7"/>
        <v>2700</v>
      </c>
      <c r="BK10" s="206">
        <f t="shared" si="8"/>
        <v>819975</v>
      </c>
    </row>
    <row r="11" spans="1:63" s="110" customFormat="1" ht="15" customHeight="1" thickBot="1">
      <c r="A11" s="64" t="s">
        <v>26</v>
      </c>
      <c r="B11" s="109"/>
      <c r="C11" s="112"/>
      <c r="D11" s="113" t="s">
        <v>1365</v>
      </c>
      <c r="E11" s="308" t="s">
        <v>1169</v>
      </c>
      <c r="F11" s="307"/>
      <c r="G11" s="307"/>
      <c r="H11" s="307"/>
      <c r="I11" s="108"/>
      <c r="J11" s="206"/>
      <c r="K11" s="206"/>
      <c r="L11" s="206"/>
      <c r="M11" s="206"/>
      <c r="N11" s="206"/>
      <c r="O11" s="206"/>
      <c r="P11" s="206"/>
      <c r="Q11" s="206"/>
      <c r="R11" s="64" t="s">
        <v>189</v>
      </c>
      <c r="S11" s="109"/>
      <c r="T11" s="112"/>
      <c r="U11" s="113" t="s">
        <v>1365</v>
      </c>
      <c r="V11" s="308" t="s">
        <v>1169</v>
      </c>
      <c r="W11" s="307"/>
      <c r="X11" s="307"/>
      <c r="Y11" s="309"/>
      <c r="Z11" s="206"/>
      <c r="AA11" s="206"/>
      <c r="AB11" s="206">
        <f>'2. melléklet'!I10</f>
        <v>5917</v>
      </c>
      <c r="AC11" s="206"/>
      <c r="AD11" s="206"/>
      <c r="AE11" s="206"/>
      <c r="AF11" s="206"/>
      <c r="AG11" s="206"/>
      <c r="AH11" s="254">
        <f t="shared" si="5"/>
        <v>5917</v>
      </c>
      <c r="AI11" s="64" t="s">
        <v>290</v>
      </c>
      <c r="AJ11" s="109"/>
      <c r="AK11" s="112"/>
      <c r="AL11" s="113" t="s">
        <v>1365</v>
      </c>
      <c r="AM11" s="308" t="s">
        <v>1169</v>
      </c>
      <c r="AN11" s="307"/>
      <c r="AO11" s="307"/>
      <c r="AP11" s="309"/>
      <c r="AQ11" s="206"/>
      <c r="AR11" s="206"/>
      <c r="AS11" s="206"/>
      <c r="AT11" s="206"/>
      <c r="AU11" s="206"/>
      <c r="AV11" s="206"/>
      <c r="AW11" s="206"/>
      <c r="AX11" s="206"/>
      <c r="AY11" s="206"/>
      <c r="AZ11" s="64" t="s">
        <v>366</v>
      </c>
      <c r="BA11" s="109"/>
      <c r="BB11" s="112"/>
      <c r="BC11" s="113" t="s">
        <v>1365</v>
      </c>
      <c r="BD11" s="308" t="s">
        <v>1169</v>
      </c>
      <c r="BE11" s="307"/>
      <c r="BF11" s="307"/>
      <c r="BG11" s="309"/>
      <c r="BH11" s="206"/>
      <c r="BI11" s="206"/>
      <c r="BJ11" s="254">
        <f t="shared" si="7"/>
        <v>0</v>
      </c>
      <c r="BK11" s="206">
        <f t="shared" si="8"/>
        <v>5917</v>
      </c>
    </row>
    <row r="12" spans="1:63" s="110" customFormat="1" ht="15" customHeight="1" thickBot="1">
      <c r="A12" s="64" t="s">
        <v>27</v>
      </c>
      <c r="B12" s="109"/>
      <c r="C12" s="112"/>
      <c r="D12" s="95" t="s">
        <v>654</v>
      </c>
      <c r="E12" s="107" t="s">
        <v>655</v>
      </c>
      <c r="F12" s="114"/>
      <c r="G12" s="114"/>
      <c r="H12" s="107"/>
      <c r="I12" s="108">
        <f>'3. melléklet'!Z11+'2. melléklet'!BB11+'2. melléklet'!BC11++'2. melléklet'!DB11+'2. melléklet'!AM11</f>
        <v>0</v>
      </c>
      <c r="J12" s="206">
        <f>'2. melléklet'!J11+'2. melléklet'!AN11+'2. melléklet'!AO11+'2. melléklet'!AP11+'2. melléklet'!BE11+'2. melléklet'!BF11+'2. melléklet'!BG11+'3. melléklet'!O11+'3. melléklet'!P11+'3. melléklet'!Y11+'4. melléklet'!I11</f>
        <v>0</v>
      </c>
      <c r="K12" s="206"/>
      <c r="L12" s="206">
        <f>'2. melléklet'!AC11+'2. melléklet'!AQ11</f>
        <v>0</v>
      </c>
      <c r="M12" s="206">
        <f>SUM('4. melléklet'!J11:L11)</f>
        <v>0</v>
      </c>
      <c r="N12" s="206">
        <f>'4. melléklet'!N11</f>
        <v>3000</v>
      </c>
      <c r="O12" s="206">
        <f>'4. melléklet'!M11+'2. melléklet'!BR11+'2. melléklet'!BS11+'2. melléklet'!CK11+'2. melléklet'!CW11</f>
        <v>38196</v>
      </c>
      <c r="P12" s="206">
        <f>'2. melléklet'!K11+'3. melléklet'!J11</f>
        <v>0</v>
      </c>
      <c r="Q12" s="206"/>
      <c r="R12" s="64" t="s">
        <v>190</v>
      </c>
      <c r="S12" s="109"/>
      <c r="T12" s="112"/>
      <c r="U12" s="95" t="s">
        <v>654</v>
      </c>
      <c r="V12" s="107" t="s">
        <v>655</v>
      </c>
      <c r="W12" s="114"/>
      <c r="X12" s="114"/>
      <c r="Y12" s="214"/>
      <c r="Z12" s="206">
        <f>'2. melléklet'!BD11+'2. melléklet'!AR11</f>
        <v>0</v>
      </c>
      <c r="AA12" s="206">
        <f>SUM('2. melléklet'!Z11:AB11)</f>
        <v>69456</v>
      </c>
      <c r="AB12" s="206">
        <f>'3. melléklet'!I11+'3. melléklet'!K11+'3. melléklet'!L11+'3. melléklet'!M11+'2. melléklet'!I11+'2. melléklet'!L11+'2. melléklet'!M11+'2. melléklet'!O11-3083</f>
        <v>50449</v>
      </c>
      <c r="AC12" s="206">
        <f>SUM('2. melléklet'!BT11:BW11)</f>
        <v>0</v>
      </c>
      <c r="AD12" s="206"/>
      <c r="AE12" s="206"/>
      <c r="AF12" s="206"/>
      <c r="AG12" s="206"/>
      <c r="AH12" s="254">
        <f>SUM(I12:Q12,Z12:AG12)</f>
        <v>161101</v>
      </c>
      <c r="AI12" s="64" t="s">
        <v>291</v>
      </c>
      <c r="AJ12" s="109"/>
      <c r="AK12" s="112"/>
      <c r="AL12" s="95" t="s">
        <v>654</v>
      </c>
      <c r="AM12" s="107" t="s">
        <v>655</v>
      </c>
      <c r="AN12" s="114"/>
      <c r="AO12" s="114"/>
      <c r="AP12" s="214"/>
      <c r="AQ12" s="206"/>
      <c r="AR12" s="206">
        <f>'2. melléklet'!N11</f>
        <v>1500</v>
      </c>
      <c r="AS12" s="206"/>
      <c r="AT12" s="206">
        <v>3083</v>
      </c>
      <c r="AU12" s="206"/>
      <c r="AV12" s="206"/>
      <c r="AW12" s="206"/>
      <c r="AX12" s="206"/>
      <c r="AY12" s="206"/>
      <c r="AZ12" s="64" t="s">
        <v>367</v>
      </c>
      <c r="BA12" s="109"/>
      <c r="BB12" s="112"/>
      <c r="BC12" s="95" t="s">
        <v>654</v>
      </c>
      <c r="BD12" s="107" t="s">
        <v>655</v>
      </c>
      <c r="BE12" s="114"/>
      <c r="BF12" s="114"/>
      <c r="BG12" s="214"/>
      <c r="BH12" s="206"/>
      <c r="BI12" s="206"/>
      <c r="BJ12" s="254">
        <f t="shared" si="7"/>
        <v>4583</v>
      </c>
      <c r="BK12" s="206">
        <f t="shared" si="8"/>
        <v>165684</v>
      </c>
    </row>
    <row r="13" spans="1:63" s="134" customFormat="1" ht="15" customHeight="1" thickBot="1">
      <c r="A13" s="64" t="s">
        <v>28</v>
      </c>
      <c r="B13" s="135"/>
      <c r="C13" s="136" t="s">
        <v>103</v>
      </c>
      <c r="D13" s="137" t="s">
        <v>102</v>
      </c>
      <c r="E13" s="138"/>
      <c r="F13" s="138"/>
      <c r="G13" s="138"/>
      <c r="H13" s="138"/>
      <c r="I13" s="139">
        <f>SUM(I14:I19)</f>
        <v>0</v>
      </c>
      <c r="J13" s="139">
        <f aca="true" t="shared" si="9" ref="J13:Q13">SUM(J14:J19)</f>
        <v>150</v>
      </c>
      <c r="K13" s="139">
        <f t="shared" si="9"/>
        <v>0</v>
      </c>
      <c r="L13" s="139">
        <f>SUM(L14:L19)</f>
        <v>0</v>
      </c>
      <c r="M13" s="139">
        <f t="shared" si="9"/>
        <v>0</v>
      </c>
      <c r="N13" s="139">
        <f t="shared" si="9"/>
        <v>0</v>
      </c>
      <c r="O13" s="139">
        <f t="shared" si="9"/>
        <v>0</v>
      </c>
      <c r="P13" s="139">
        <f t="shared" si="9"/>
        <v>0</v>
      </c>
      <c r="Q13" s="139">
        <f t="shared" si="9"/>
        <v>0</v>
      </c>
      <c r="R13" s="64" t="s">
        <v>191</v>
      </c>
      <c r="S13" s="135"/>
      <c r="T13" s="136" t="s">
        <v>103</v>
      </c>
      <c r="U13" s="137" t="s">
        <v>102</v>
      </c>
      <c r="V13" s="138"/>
      <c r="W13" s="138"/>
      <c r="X13" s="138"/>
      <c r="Y13" s="215"/>
      <c r="Z13" s="139">
        <f aca="true" t="shared" si="10" ref="Z13:AG13">SUM(Z14:Z19)</f>
        <v>0</v>
      </c>
      <c r="AA13" s="207">
        <f t="shared" si="10"/>
        <v>0</v>
      </c>
      <c r="AB13" s="207">
        <f t="shared" si="10"/>
        <v>2075790</v>
      </c>
      <c r="AC13" s="207">
        <f t="shared" si="10"/>
        <v>0</v>
      </c>
      <c r="AD13" s="207">
        <f>SUM(AD14:AD19)</f>
        <v>0</v>
      </c>
      <c r="AE13" s="207">
        <f>SUM(AE14:AE19)</f>
        <v>0</v>
      </c>
      <c r="AF13" s="207">
        <f>SUM(AF14:AF19)</f>
        <v>0</v>
      </c>
      <c r="AG13" s="207">
        <f t="shared" si="10"/>
        <v>0</v>
      </c>
      <c r="AH13" s="254">
        <f t="shared" si="5"/>
        <v>2075940</v>
      </c>
      <c r="AI13" s="64" t="s">
        <v>292</v>
      </c>
      <c r="AJ13" s="135"/>
      <c r="AK13" s="136" t="s">
        <v>103</v>
      </c>
      <c r="AL13" s="137" t="s">
        <v>102</v>
      </c>
      <c r="AM13" s="138"/>
      <c r="AN13" s="138"/>
      <c r="AO13" s="138"/>
      <c r="AP13" s="215"/>
      <c r="AQ13" s="139">
        <f aca="true" t="shared" si="11" ref="AQ13:AY13">SUM(AQ14:AQ19)</f>
        <v>0</v>
      </c>
      <c r="AR13" s="207">
        <f t="shared" si="11"/>
        <v>0</v>
      </c>
      <c r="AS13" s="207">
        <f t="shared" si="11"/>
        <v>0</v>
      </c>
      <c r="AT13" s="207">
        <f t="shared" si="11"/>
        <v>0</v>
      </c>
      <c r="AU13" s="207">
        <f t="shared" si="11"/>
        <v>0</v>
      </c>
      <c r="AV13" s="207">
        <f t="shared" si="11"/>
        <v>0</v>
      </c>
      <c r="AW13" s="207">
        <f t="shared" si="11"/>
        <v>0</v>
      </c>
      <c r="AX13" s="207">
        <f t="shared" si="11"/>
        <v>0</v>
      </c>
      <c r="AY13" s="207">
        <f t="shared" si="11"/>
        <v>0</v>
      </c>
      <c r="AZ13" s="64" t="s">
        <v>368</v>
      </c>
      <c r="BA13" s="135"/>
      <c r="BB13" s="136" t="s">
        <v>103</v>
      </c>
      <c r="BC13" s="137" t="s">
        <v>102</v>
      </c>
      <c r="BD13" s="138"/>
      <c r="BE13" s="138"/>
      <c r="BF13" s="138"/>
      <c r="BG13" s="215"/>
      <c r="BH13" s="234">
        <f>SUM(BH14:BH19)</f>
        <v>0</v>
      </c>
      <c r="BI13" s="234">
        <f>SUM(BI14:BI19)</f>
        <v>0</v>
      </c>
      <c r="BJ13" s="254">
        <f t="shared" si="7"/>
        <v>0</v>
      </c>
      <c r="BK13" s="207">
        <f t="shared" si="8"/>
        <v>2075940</v>
      </c>
    </row>
    <row r="14" spans="1:63" s="56" customFormat="1" ht="15" customHeight="1" thickBot="1">
      <c r="A14" s="64" t="s">
        <v>29</v>
      </c>
      <c r="B14" s="53"/>
      <c r="C14" s="54"/>
      <c r="D14" s="106" t="s">
        <v>660</v>
      </c>
      <c r="E14" s="107" t="s">
        <v>661</v>
      </c>
      <c r="F14" s="55"/>
      <c r="G14" s="55"/>
      <c r="H14" s="55"/>
      <c r="I14" s="108">
        <f>'3. melléklet'!Z13+'2. melléklet'!BB13+'2. melléklet'!BC13++'2. melléklet'!DB13+'2. melléklet'!AM13</f>
        <v>0</v>
      </c>
      <c r="J14" s="206">
        <f>'2. melléklet'!J13+'2. melléklet'!AN13+'2. melléklet'!AO13+'2. melléklet'!AP13+'2. melléklet'!BE13+'2. melléklet'!BF13+'2. melléklet'!BG13+'3. melléklet'!O13+'3. melléklet'!P13+'3. melléklet'!Y13+'4. melléklet'!I13</f>
        <v>0</v>
      </c>
      <c r="K14" s="206"/>
      <c r="L14" s="206">
        <f>'2. melléklet'!AC13+'2. melléklet'!AQ13</f>
        <v>0</v>
      </c>
      <c r="M14" s="206">
        <f>SUM('4. melléklet'!J13:L13)</f>
        <v>0</v>
      </c>
      <c r="N14" s="206">
        <f>'4. melléklet'!N13</f>
        <v>0</v>
      </c>
      <c r="O14" s="206">
        <f>'4. melléklet'!M13+'2. melléklet'!BR13+'2. melléklet'!BS13+'2. melléklet'!CK13+'2. melléklet'!CW13</f>
        <v>0</v>
      </c>
      <c r="P14" s="206">
        <f>'2. melléklet'!K13+'3. melléklet'!J13</f>
        <v>0</v>
      </c>
      <c r="Q14" s="206"/>
      <c r="R14" s="64" t="s">
        <v>192</v>
      </c>
      <c r="S14" s="53"/>
      <c r="T14" s="54"/>
      <c r="U14" s="106" t="s">
        <v>660</v>
      </c>
      <c r="V14" s="107" t="s">
        <v>661</v>
      </c>
      <c r="W14" s="55"/>
      <c r="X14" s="55"/>
      <c r="Y14" s="216"/>
      <c r="Z14" s="206">
        <f>'2. melléklet'!BD13+'2. melléklet'!AR13</f>
        <v>0</v>
      </c>
      <c r="AA14" s="206">
        <f>SUM('2. melléklet'!Z13:AB13)</f>
        <v>0</v>
      </c>
      <c r="AB14" s="206">
        <f>'3. melléklet'!I13+'3. melléklet'!K13+'3. melléklet'!L13+'3. melléklet'!M13+'2. melléklet'!I13+'2. melléklet'!L13+'2. melléklet'!M13+'2. melléklet'!O13</f>
        <v>30</v>
      </c>
      <c r="AC14" s="206">
        <f>SUM('2. melléklet'!BT13:BW13)</f>
        <v>0</v>
      </c>
      <c r="AD14" s="206"/>
      <c r="AE14" s="206"/>
      <c r="AF14" s="206"/>
      <c r="AG14" s="206"/>
      <c r="AH14" s="254">
        <f t="shared" si="5"/>
        <v>30</v>
      </c>
      <c r="AI14" s="64" t="s">
        <v>293</v>
      </c>
      <c r="AJ14" s="53"/>
      <c r="AK14" s="54"/>
      <c r="AL14" s="106" t="s">
        <v>660</v>
      </c>
      <c r="AM14" s="107" t="s">
        <v>661</v>
      </c>
      <c r="AN14" s="55"/>
      <c r="AO14" s="55"/>
      <c r="AP14" s="216"/>
      <c r="AQ14" s="206"/>
      <c r="AR14" s="206">
        <f>'2. melléklet'!N13</f>
        <v>0</v>
      </c>
      <c r="AS14" s="206"/>
      <c r="AT14" s="206"/>
      <c r="AU14" s="206"/>
      <c r="AV14" s="206"/>
      <c r="AW14" s="206"/>
      <c r="AX14" s="206"/>
      <c r="AY14" s="206"/>
      <c r="AZ14" s="64" t="s">
        <v>369</v>
      </c>
      <c r="BA14" s="53"/>
      <c r="BB14" s="54"/>
      <c r="BC14" s="106" t="s">
        <v>660</v>
      </c>
      <c r="BD14" s="107" t="s">
        <v>661</v>
      </c>
      <c r="BE14" s="55"/>
      <c r="BF14" s="55"/>
      <c r="BG14" s="216"/>
      <c r="BH14" s="206"/>
      <c r="BI14" s="206"/>
      <c r="BJ14" s="254">
        <f t="shared" si="7"/>
        <v>0</v>
      </c>
      <c r="BK14" s="206">
        <f t="shared" si="8"/>
        <v>30</v>
      </c>
    </row>
    <row r="15" spans="1:63" s="56" customFormat="1" ht="15" customHeight="1" thickBot="1">
      <c r="A15" s="64" t="s">
        <v>30</v>
      </c>
      <c r="B15" s="53"/>
      <c r="C15" s="54"/>
      <c r="D15" s="95" t="s">
        <v>662</v>
      </c>
      <c r="E15" s="107" t="s">
        <v>663</v>
      </c>
      <c r="F15" s="55"/>
      <c r="G15" s="55"/>
      <c r="H15" s="55"/>
      <c r="I15" s="108">
        <f>'3. melléklet'!Z14+'2. melléklet'!BB14+'2. melléklet'!BC14++'2. melléklet'!DB14+'2. melléklet'!AM14</f>
        <v>0</v>
      </c>
      <c r="J15" s="206">
        <f>'2. melléklet'!J14+'2. melléklet'!AN14+'2. melléklet'!AO14+'2. melléklet'!AP14+'2. melléklet'!BE14+'2. melléklet'!BF14+'2. melléklet'!BG14+'3. melléklet'!O14+'3. melléklet'!P14+'3. melléklet'!Y14+'4. melléklet'!I14</f>
        <v>0</v>
      </c>
      <c r="K15" s="206"/>
      <c r="L15" s="206">
        <f>'2. melléklet'!AC14+'2. melléklet'!AQ14</f>
        <v>0</v>
      </c>
      <c r="M15" s="206">
        <f>SUM('4. melléklet'!J14:L14)</f>
        <v>0</v>
      </c>
      <c r="N15" s="206">
        <f>'4. melléklet'!N14</f>
        <v>0</v>
      </c>
      <c r="O15" s="206">
        <f>'4. melléklet'!M14+'2. melléklet'!BR14+'2. melléklet'!BS14+'2. melléklet'!CK14+'2. melléklet'!CW14</f>
        <v>0</v>
      </c>
      <c r="P15" s="206">
        <f>'2. melléklet'!K14+'3. melléklet'!J14</f>
        <v>0</v>
      </c>
      <c r="Q15" s="206"/>
      <c r="R15" s="64" t="s">
        <v>193</v>
      </c>
      <c r="S15" s="53"/>
      <c r="T15" s="54"/>
      <c r="U15" s="95" t="s">
        <v>662</v>
      </c>
      <c r="V15" s="107" t="s">
        <v>663</v>
      </c>
      <c r="W15" s="55"/>
      <c r="X15" s="55"/>
      <c r="Y15" s="216"/>
      <c r="Z15" s="206">
        <f>'2. melléklet'!BD14+'2. melléklet'!AR14</f>
        <v>0</v>
      </c>
      <c r="AA15" s="206">
        <f>SUM('2. melléklet'!Z14:AB14)</f>
        <v>0</v>
      </c>
      <c r="AB15" s="206">
        <f>'3. melléklet'!I14+'3. melléklet'!K14+'3. melléklet'!L14+'3. melléklet'!M14+'2. melléklet'!I14+'2. melléklet'!L14+'2. melléklet'!M14+'2. melléklet'!O14</f>
        <v>18640</v>
      </c>
      <c r="AC15" s="206">
        <f>SUM('2. melléklet'!BT14:BW14)</f>
        <v>0</v>
      </c>
      <c r="AD15" s="206"/>
      <c r="AE15" s="206"/>
      <c r="AF15" s="206"/>
      <c r="AG15" s="206"/>
      <c r="AH15" s="254">
        <f t="shared" si="5"/>
        <v>18640</v>
      </c>
      <c r="AI15" s="64" t="s">
        <v>294</v>
      </c>
      <c r="AJ15" s="53"/>
      <c r="AK15" s="54"/>
      <c r="AL15" s="95" t="s">
        <v>662</v>
      </c>
      <c r="AM15" s="107" t="s">
        <v>663</v>
      </c>
      <c r="AN15" s="55"/>
      <c r="AO15" s="55"/>
      <c r="AP15" s="216"/>
      <c r="AQ15" s="206"/>
      <c r="AR15" s="206">
        <f>'2. melléklet'!N14</f>
        <v>0</v>
      </c>
      <c r="AS15" s="206"/>
      <c r="AT15" s="206"/>
      <c r="AU15" s="206"/>
      <c r="AV15" s="206"/>
      <c r="AW15" s="206"/>
      <c r="AX15" s="206"/>
      <c r="AY15" s="206"/>
      <c r="AZ15" s="64" t="s">
        <v>370</v>
      </c>
      <c r="BA15" s="53"/>
      <c r="BB15" s="54"/>
      <c r="BC15" s="95" t="s">
        <v>662</v>
      </c>
      <c r="BD15" s="107" t="s">
        <v>663</v>
      </c>
      <c r="BE15" s="55"/>
      <c r="BF15" s="55"/>
      <c r="BG15" s="216"/>
      <c r="BH15" s="206"/>
      <c r="BI15" s="206"/>
      <c r="BJ15" s="254">
        <f t="shared" si="7"/>
        <v>0</v>
      </c>
      <c r="BK15" s="206">
        <f t="shared" si="8"/>
        <v>18640</v>
      </c>
    </row>
    <row r="16" spans="1:63" s="56" customFormat="1" ht="15" customHeight="1" thickBot="1">
      <c r="A16" s="64" t="s">
        <v>31</v>
      </c>
      <c r="B16" s="53"/>
      <c r="C16" s="54"/>
      <c r="D16" s="95" t="s">
        <v>664</v>
      </c>
      <c r="E16" s="107" t="s">
        <v>665</v>
      </c>
      <c r="F16" s="55"/>
      <c r="G16" s="55"/>
      <c r="H16" s="55"/>
      <c r="I16" s="108">
        <f>'3. melléklet'!Z15+'2. melléklet'!BB15+'2. melléklet'!BC15++'2. melléklet'!DB15+'2. melléklet'!AM15</f>
        <v>0</v>
      </c>
      <c r="J16" s="206">
        <f>'2. melléklet'!J15+'2. melléklet'!AN15+'2. melléklet'!AO15+'2. melléklet'!AP15+'2. melléklet'!BE15+'2. melléklet'!BF15+'2. melléklet'!BG15+'3. melléklet'!O15+'3. melléklet'!P15+'3. melléklet'!Y15+'4. melléklet'!I15</f>
        <v>0</v>
      </c>
      <c r="K16" s="206"/>
      <c r="L16" s="206">
        <f>'2. melléklet'!AC15+'2. melléklet'!AQ15</f>
        <v>0</v>
      </c>
      <c r="M16" s="206">
        <f>SUM('4. melléklet'!J15:L15)</f>
        <v>0</v>
      </c>
      <c r="N16" s="206">
        <f>'4. melléklet'!N15</f>
        <v>0</v>
      </c>
      <c r="O16" s="206">
        <f>'4. melléklet'!M15+'2. melléklet'!BR15+'2. melléklet'!BS15+'2. melléklet'!CK15+'2. melléklet'!CW15</f>
        <v>0</v>
      </c>
      <c r="P16" s="206">
        <f>'2. melléklet'!K15+'3. melléklet'!J15</f>
        <v>0</v>
      </c>
      <c r="Q16" s="206"/>
      <c r="R16" s="64" t="s">
        <v>194</v>
      </c>
      <c r="S16" s="53"/>
      <c r="T16" s="54"/>
      <c r="U16" s="95" t="s">
        <v>664</v>
      </c>
      <c r="V16" s="107" t="s">
        <v>665</v>
      </c>
      <c r="W16" s="55"/>
      <c r="X16" s="55"/>
      <c r="Y16" s="216"/>
      <c r="Z16" s="206">
        <f>'2. melléklet'!BD15+'2. melléklet'!AR15</f>
        <v>0</v>
      </c>
      <c r="AA16" s="206">
        <f>SUM('2. melléklet'!Z15:AB15)</f>
        <v>0</v>
      </c>
      <c r="AB16" s="206">
        <f>'3. melléklet'!I15+'3. melléklet'!K15+'3. melléklet'!L15+'3. melléklet'!M15+'2. melléklet'!I15+'2. melléklet'!L15+'2. melléklet'!M15+'2. melléklet'!O15</f>
        <v>2000000</v>
      </c>
      <c r="AC16" s="206">
        <f>SUM('2. melléklet'!BT15:BW15)</f>
        <v>0</v>
      </c>
      <c r="AD16" s="206"/>
      <c r="AE16" s="206"/>
      <c r="AF16" s="206"/>
      <c r="AG16" s="206"/>
      <c r="AH16" s="254">
        <f t="shared" si="5"/>
        <v>2000000</v>
      </c>
      <c r="AI16" s="64" t="s">
        <v>295</v>
      </c>
      <c r="AJ16" s="53"/>
      <c r="AK16" s="54"/>
      <c r="AL16" s="95" t="s">
        <v>664</v>
      </c>
      <c r="AM16" s="107" t="s">
        <v>665</v>
      </c>
      <c r="AN16" s="55"/>
      <c r="AO16" s="55"/>
      <c r="AP16" s="216"/>
      <c r="AQ16" s="206"/>
      <c r="AR16" s="206">
        <f>'2. melléklet'!N15</f>
        <v>0</v>
      </c>
      <c r="AS16" s="206"/>
      <c r="AT16" s="206"/>
      <c r="AU16" s="206"/>
      <c r="AV16" s="206"/>
      <c r="AW16" s="206"/>
      <c r="AX16" s="206"/>
      <c r="AY16" s="206"/>
      <c r="AZ16" s="64" t="s">
        <v>371</v>
      </c>
      <c r="BA16" s="53"/>
      <c r="BB16" s="54"/>
      <c r="BC16" s="95" t="s">
        <v>664</v>
      </c>
      <c r="BD16" s="107" t="s">
        <v>665</v>
      </c>
      <c r="BE16" s="55"/>
      <c r="BF16" s="55"/>
      <c r="BG16" s="216"/>
      <c r="BH16" s="206"/>
      <c r="BI16" s="206"/>
      <c r="BJ16" s="254">
        <f t="shared" si="7"/>
        <v>0</v>
      </c>
      <c r="BK16" s="206">
        <f t="shared" si="8"/>
        <v>2000000</v>
      </c>
    </row>
    <row r="17" spans="1:63" s="56" customFormat="1" ht="15" customHeight="1" thickBot="1">
      <c r="A17" s="64" t="s">
        <v>32</v>
      </c>
      <c r="B17" s="53"/>
      <c r="C17" s="54"/>
      <c r="D17" s="95" t="s">
        <v>666</v>
      </c>
      <c r="E17" s="107" t="s">
        <v>667</v>
      </c>
      <c r="F17" s="55"/>
      <c r="G17" s="55"/>
      <c r="H17" s="55"/>
      <c r="I17" s="108">
        <f>'3. melléklet'!Z16+'2. melléklet'!BB16+'2. melléklet'!BC16++'2. melléklet'!DB16+'2. melléklet'!AM16</f>
        <v>0</v>
      </c>
      <c r="J17" s="206">
        <f>'2. melléklet'!J16+'2. melléklet'!AN16+'2. melléklet'!AO16+'2. melléklet'!AP16+'2. melléklet'!BE16+'2. melléklet'!BF16+'2. melléklet'!BG16+'3. melléklet'!O16+'3. melléklet'!P16+'3. melléklet'!Y16+'4. melléklet'!I16</f>
        <v>0</v>
      </c>
      <c r="K17" s="206"/>
      <c r="L17" s="206">
        <f>'2. melléklet'!AC16+'2. melléklet'!AQ16</f>
        <v>0</v>
      </c>
      <c r="M17" s="206">
        <f>SUM('4. melléklet'!J16:L16)</f>
        <v>0</v>
      </c>
      <c r="N17" s="206">
        <f>'4. melléklet'!N16</f>
        <v>0</v>
      </c>
      <c r="O17" s="206">
        <f>'4. melléklet'!M16+'2. melléklet'!BR16+'2. melléklet'!BS16+'2. melléklet'!CK16+'2. melléklet'!CW16</f>
        <v>0</v>
      </c>
      <c r="P17" s="206">
        <f>'2. melléklet'!K16+'3. melléklet'!J16</f>
        <v>0</v>
      </c>
      <c r="Q17" s="206"/>
      <c r="R17" s="64" t="s">
        <v>195</v>
      </c>
      <c r="S17" s="53"/>
      <c r="T17" s="54"/>
      <c r="U17" s="95" t="s">
        <v>666</v>
      </c>
      <c r="V17" s="107" t="s">
        <v>667</v>
      </c>
      <c r="W17" s="55"/>
      <c r="X17" s="55"/>
      <c r="Y17" s="216"/>
      <c r="Z17" s="206">
        <f>'2. melléklet'!BD16+'2. melléklet'!AR16</f>
        <v>0</v>
      </c>
      <c r="AA17" s="206">
        <f>SUM('2. melléklet'!Z16:AB16)</f>
        <v>0</v>
      </c>
      <c r="AB17" s="206">
        <f>'3. melléklet'!I16+'3. melléklet'!K16+'3. melléklet'!L16+'3. melléklet'!M16+'2. melléklet'!I16+'2. melléklet'!L16+'2. melléklet'!M16+'2. melléklet'!O16</f>
        <v>46000</v>
      </c>
      <c r="AC17" s="206">
        <f>SUM('2. melléklet'!BT16:BW16)</f>
        <v>0</v>
      </c>
      <c r="AD17" s="206"/>
      <c r="AE17" s="206"/>
      <c r="AF17" s="206"/>
      <c r="AG17" s="206"/>
      <c r="AH17" s="254">
        <f t="shared" si="5"/>
        <v>46000</v>
      </c>
      <c r="AI17" s="64" t="s">
        <v>296</v>
      </c>
      <c r="AJ17" s="53"/>
      <c r="AK17" s="54"/>
      <c r="AL17" s="95" t="s">
        <v>666</v>
      </c>
      <c r="AM17" s="107" t="s">
        <v>667</v>
      </c>
      <c r="AN17" s="55"/>
      <c r="AO17" s="55"/>
      <c r="AP17" s="216"/>
      <c r="AQ17" s="206"/>
      <c r="AR17" s="206">
        <f>'2. melléklet'!N16</f>
        <v>0</v>
      </c>
      <c r="AS17" s="206"/>
      <c r="AT17" s="206"/>
      <c r="AU17" s="206"/>
      <c r="AV17" s="206"/>
      <c r="AW17" s="206"/>
      <c r="AX17" s="206"/>
      <c r="AY17" s="206"/>
      <c r="AZ17" s="64" t="s">
        <v>372</v>
      </c>
      <c r="BA17" s="53"/>
      <c r="BB17" s="54"/>
      <c r="BC17" s="95" t="s">
        <v>666</v>
      </c>
      <c r="BD17" s="107" t="s">
        <v>667</v>
      </c>
      <c r="BE17" s="55"/>
      <c r="BF17" s="55"/>
      <c r="BG17" s="216"/>
      <c r="BH17" s="206"/>
      <c r="BI17" s="206"/>
      <c r="BJ17" s="254">
        <f t="shared" si="7"/>
        <v>0</v>
      </c>
      <c r="BK17" s="206">
        <f t="shared" si="8"/>
        <v>46000</v>
      </c>
    </row>
    <row r="18" spans="1:63" s="56" customFormat="1" ht="15" customHeight="1" thickBot="1">
      <c r="A18" s="64" t="s">
        <v>33</v>
      </c>
      <c r="B18" s="53"/>
      <c r="C18" s="54"/>
      <c r="D18" s="95" t="s">
        <v>668</v>
      </c>
      <c r="E18" s="107" t="s">
        <v>669</v>
      </c>
      <c r="F18" s="55"/>
      <c r="G18" s="55"/>
      <c r="H18" s="55"/>
      <c r="I18" s="108">
        <f>'3. melléklet'!Z17+'2. melléklet'!BB17+'2. melléklet'!BC17++'2. melléklet'!DB17+'2. melléklet'!AM17</f>
        <v>0</v>
      </c>
      <c r="J18" s="206">
        <f>'2. melléklet'!J17+'2. melléklet'!AN17+'2. melléklet'!AO17+'2. melléklet'!AP17+'2. melléklet'!BE17+'2. melléklet'!BF17+'2. melléklet'!BG17+'3. melléklet'!O17+'3. melléklet'!P17+'3. melléklet'!Y17+'4. melléklet'!I17</f>
        <v>0</v>
      </c>
      <c r="K18" s="206"/>
      <c r="L18" s="206">
        <f>'2. melléklet'!AC17+'2. melléklet'!AQ17</f>
        <v>0</v>
      </c>
      <c r="M18" s="206">
        <f>SUM('4. melléklet'!J17:L17)</f>
        <v>0</v>
      </c>
      <c r="N18" s="206">
        <f>'4. melléklet'!N17</f>
        <v>0</v>
      </c>
      <c r="O18" s="206">
        <f>'4. melléklet'!M17+'2. melléklet'!BR17+'2. melléklet'!BS17+'2. melléklet'!CK17+'2. melléklet'!CW17</f>
        <v>0</v>
      </c>
      <c r="P18" s="206">
        <f>'2. melléklet'!K17+'3. melléklet'!J17</f>
        <v>0</v>
      </c>
      <c r="Q18" s="206"/>
      <c r="R18" s="64" t="s">
        <v>196</v>
      </c>
      <c r="S18" s="53"/>
      <c r="T18" s="54"/>
      <c r="U18" s="95" t="s">
        <v>668</v>
      </c>
      <c r="V18" s="107" t="s">
        <v>669</v>
      </c>
      <c r="W18" s="55"/>
      <c r="X18" s="55"/>
      <c r="Y18" s="216"/>
      <c r="Z18" s="206">
        <f>'2. melléklet'!BD17+'2. melléklet'!AR17</f>
        <v>0</v>
      </c>
      <c r="AA18" s="206">
        <f>SUM('2. melléklet'!Z17:AB17)</f>
        <v>0</v>
      </c>
      <c r="AB18" s="206">
        <f>'3. melléklet'!I17+'3. melléklet'!K17+'3. melléklet'!L17+'3. melléklet'!M17+'2. melléklet'!I17+'2. melléklet'!L17+'2. melléklet'!M17+'2. melléklet'!O17</f>
        <v>6500</v>
      </c>
      <c r="AC18" s="206">
        <f>SUM('2. melléklet'!BT17:BW17)</f>
        <v>0</v>
      </c>
      <c r="AD18" s="206"/>
      <c r="AE18" s="206"/>
      <c r="AF18" s="206"/>
      <c r="AG18" s="206"/>
      <c r="AH18" s="254">
        <f t="shared" si="5"/>
        <v>6500</v>
      </c>
      <c r="AI18" s="64" t="s">
        <v>297</v>
      </c>
      <c r="AJ18" s="53"/>
      <c r="AK18" s="54"/>
      <c r="AL18" s="95" t="s">
        <v>668</v>
      </c>
      <c r="AM18" s="107" t="s">
        <v>669</v>
      </c>
      <c r="AN18" s="55"/>
      <c r="AO18" s="55"/>
      <c r="AP18" s="216"/>
      <c r="AQ18" s="206"/>
      <c r="AR18" s="206">
        <f>'2. melléklet'!N17</f>
        <v>0</v>
      </c>
      <c r="AS18" s="206"/>
      <c r="AT18" s="206"/>
      <c r="AU18" s="206"/>
      <c r="AV18" s="206"/>
      <c r="AW18" s="206"/>
      <c r="AX18" s="206"/>
      <c r="AY18" s="206"/>
      <c r="AZ18" s="64" t="s">
        <v>373</v>
      </c>
      <c r="BA18" s="53"/>
      <c r="BB18" s="54"/>
      <c r="BC18" s="95" t="s">
        <v>668</v>
      </c>
      <c r="BD18" s="107" t="s">
        <v>669</v>
      </c>
      <c r="BE18" s="55"/>
      <c r="BF18" s="55"/>
      <c r="BG18" s="216"/>
      <c r="BH18" s="206"/>
      <c r="BI18" s="206"/>
      <c r="BJ18" s="254">
        <f t="shared" si="7"/>
        <v>0</v>
      </c>
      <c r="BK18" s="206">
        <f t="shared" si="8"/>
        <v>6500</v>
      </c>
    </row>
    <row r="19" spans="1:63" s="56" customFormat="1" ht="15" customHeight="1" thickBot="1">
      <c r="A19" s="64" t="s">
        <v>34</v>
      </c>
      <c r="B19" s="53"/>
      <c r="C19" s="54"/>
      <c r="D19" s="111" t="s">
        <v>670</v>
      </c>
      <c r="E19" s="107" t="s">
        <v>563</v>
      </c>
      <c r="F19" s="55"/>
      <c r="G19" s="55"/>
      <c r="H19" s="55"/>
      <c r="I19" s="108">
        <f>'3. melléklet'!Z18+'2. melléklet'!BB18+'2. melléklet'!BC18++'2. melléklet'!DB18+'2. melléklet'!AM18</f>
        <v>0</v>
      </c>
      <c r="J19" s="206">
        <f>'2. melléklet'!J18+'2. melléklet'!AN18+'2. melléklet'!AO18+'2. melléklet'!AP18+'2. melléklet'!BE18+'2. melléklet'!BF18+'2. melléklet'!BG18+'3. melléklet'!O18+'3. melléklet'!P18+'3. melléklet'!Y18+'4. melléklet'!I18</f>
        <v>150</v>
      </c>
      <c r="K19" s="206"/>
      <c r="L19" s="206">
        <f>'2. melléklet'!AC18+'2. melléklet'!AQ18</f>
        <v>0</v>
      </c>
      <c r="M19" s="206">
        <f>SUM('4. melléklet'!J18:L18)</f>
        <v>0</v>
      </c>
      <c r="N19" s="206">
        <f>'4. melléklet'!N18</f>
        <v>0</v>
      </c>
      <c r="O19" s="206">
        <f>'4. melléklet'!M18+'2. melléklet'!BR18+'2. melléklet'!BS18+'2. melléklet'!CK18+'2. melléklet'!CW18</f>
        <v>0</v>
      </c>
      <c r="P19" s="206">
        <f>'2. melléklet'!K18+'3. melléklet'!J18</f>
        <v>0</v>
      </c>
      <c r="Q19" s="206"/>
      <c r="R19" s="64" t="s">
        <v>197</v>
      </c>
      <c r="S19" s="53"/>
      <c r="T19" s="54"/>
      <c r="U19" s="111" t="s">
        <v>670</v>
      </c>
      <c r="V19" s="107" t="s">
        <v>563</v>
      </c>
      <c r="W19" s="55"/>
      <c r="X19" s="55"/>
      <c r="Y19" s="216"/>
      <c r="Z19" s="206">
        <f>'2. melléklet'!BD18+'2. melléklet'!AR18</f>
        <v>0</v>
      </c>
      <c r="AA19" s="206">
        <f>SUM('2. melléklet'!Z18:AB18)</f>
        <v>0</v>
      </c>
      <c r="AB19" s="206">
        <f>'3. melléklet'!I18+'3. melléklet'!K18+'3. melléklet'!L18+'3. melléklet'!M18+'2. melléklet'!I18+'2. melléklet'!L18+'2. melléklet'!M18+'2. melléklet'!O18</f>
        <v>4620</v>
      </c>
      <c r="AC19" s="206">
        <f>SUM('2. melléklet'!BT18:BW18)</f>
        <v>0</v>
      </c>
      <c r="AD19" s="206"/>
      <c r="AE19" s="206"/>
      <c r="AF19" s="206"/>
      <c r="AG19" s="206"/>
      <c r="AH19" s="254">
        <f t="shared" si="5"/>
        <v>4770</v>
      </c>
      <c r="AI19" s="64" t="s">
        <v>298</v>
      </c>
      <c r="AJ19" s="53"/>
      <c r="AK19" s="54"/>
      <c r="AL19" s="111" t="s">
        <v>670</v>
      </c>
      <c r="AM19" s="107" t="s">
        <v>563</v>
      </c>
      <c r="AN19" s="55"/>
      <c r="AO19" s="55"/>
      <c r="AP19" s="216"/>
      <c r="AQ19" s="206"/>
      <c r="AR19" s="206">
        <f>'2. melléklet'!N18</f>
        <v>0</v>
      </c>
      <c r="AS19" s="206"/>
      <c r="AT19" s="206"/>
      <c r="AU19" s="206"/>
      <c r="AV19" s="206"/>
      <c r="AW19" s="206"/>
      <c r="AX19" s="206"/>
      <c r="AY19" s="206"/>
      <c r="AZ19" s="64" t="s">
        <v>374</v>
      </c>
      <c r="BA19" s="53"/>
      <c r="BB19" s="54"/>
      <c r="BC19" s="111" t="s">
        <v>670</v>
      </c>
      <c r="BD19" s="107" t="s">
        <v>563</v>
      </c>
      <c r="BE19" s="55"/>
      <c r="BF19" s="55"/>
      <c r="BG19" s="216"/>
      <c r="BH19" s="206"/>
      <c r="BI19" s="206"/>
      <c r="BJ19" s="254">
        <f t="shared" si="7"/>
        <v>0</v>
      </c>
      <c r="BK19" s="206">
        <f t="shared" si="8"/>
        <v>4770</v>
      </c>
    </row>
    <row r="20" spans="1:63" s="134" customFormat="1" ht="15" customHeight="1" thickBot="1">
      <c r="A20" s="64" t="s">
        <v>35</v>
      </c>
      <c r="B20" s="135"/>
      <c r="C20" s="136" t="s">
        <v>104</v>
      </c>
      <c r="D20" s="137" t="s">
        <v>100</v>
      </c>
      <c r="E20" s="138"/>
      <c r="F20" s="138"/>
      <c r="G20" s="138"/>
      <c r="H20" s="138"/>
      <c r="I20" s="139">
        <f>SUM(I21:I29)</f>
        <v>500</v>
      </c>
      <c r="J20" s="139">
        <f aca="true" t="shared" si="12" ref="J20:Q20">SUM(J21:J29)</f>
        <v>186729</v>
      </c>
      <c r="K20" s="139">
        <f t="shared" si="12"/>
        <v>0</v>
      </c>
      <c r="L20" s="139">
        <f>SUM(L21:L29)</f>
        <v>0</v>
      </c>
      <c r="M20" s="139">
        <f t="shared" si="12"/>
        <v>75103</v>
      </c>
      <c r="N20" s="139">
        <f t="shared" si="12"/>
        <v>8144</v>
      </c>
      <c r="O20" s="139">
        <f t="shared" si="12"/>
        <v>4515</v>
      </c>
      <c r="P20" s="139">
        <f t="shared" si="12"/>
        <v>76853</v>
      </c>
      <c r="Q20" s="139">
        <f t="shared" si="12"/>
        <v>0</v>
      </c>
      <c r="R20" s="64" t="s">
        <v>198</v>
      </c>
      <c r="S20" s="135"/>
      <c r="T20" s="136" t="s">
        <v>104</v>
      </c>
      <c r="U20" s="137" t="s">
        <v>100</v>
      </c>
      <c r="V20" s="138"/>
      <c r="W20" s="138"/>
      <c r="X20" s="138"/>
      <c r="Y20" s="215"/>
      <c r="Z20" s="139">
        <f aca="true" t="shared" si="13" ref="Z20:AG20">SUM(Z21:Z29)</f>
        <v>33581</v>
      </c>
      <c r="AA20" s="207">
        <f t="shared" si="13"/>
        <v>0</v>
      </c>
      <c r="AB20" s="207">
        <f t="shared" si="13"/>
        <v>24211</v>
      </c>
      <c r="AC20" s="207">
        <f t="shared" si="13"/>
        <v>636</v>
      </c>
      <c r="AD20" s="207">
        <f>SUM(AD21:AD29)</f>
        <v>0</v>
      </c>
      <c r="AE20" s="207">
        <f>SUM(AE21:AE29)</f>
        <v>0</v>
      </c>
      <c r="AF20" s="207">
        <f>SUM(AF21:AF29)</f>
        <v>300</v>
      </c>
      <c r="AG20" s="207">
        <f t="shared" si="13"/>
        <v>0</v>
      </c>
      <c r="AH20" s="254">
        <f t="shared" si="5"/>
        <v>410572</v>
      </c>
      <c r="AI20" s="64" t="s">
        <v>299</v>
      </c>
      <c r="AJ20" s="135"/>
      <c r="AK20" s="136" t="s">
        <v>104</v>
      </c>
      <c r="AL20" s="137" t="s">
        <v>100</v>
      </c>
      <c r="AM20" s="138"/>
      <c r="AN20" s="138"/>
      <c r="AO20" s="138"/>
      <c r="AP20" s="215"/>
      <c r="AQ20" s="139">
        <f aca="true" t="shared" si="14" ref="AQ20:AY20">SUM(AQ21:AQ29)</f>
        <v>0</v>
      </c>
      <c r="AR20" s="207">
        <f t="shared" si="14"/>
        <v>16000</v>
      </c>
      <c r="AS20" s="207">
        <f t="shared" si="14"/>
        <v>0</v>
      </c>
      <c r="AT20" s="207">
        <f t="shared" si="14"/>
        <v>0</v>
      </c>
      <c r="AU20" s="207">
        <f t="shared" si="14"/>
        <v>0</v>
      </c>
      <c r="AV20" s="207">
        <f t="shared" si="14"/>
        <v>0</v>
      </c>
      <c r="AW20" s="207">
        <f t="shared" si="14"/>
        <v>0</v>
      </c>
      <c r="AX20" s="207">
        <f t="shared" si="14"/>
        <v>0</v>
      </c>
      <c r="AY20" s="207">
        <f t="shared" si="14"/>
        <v>0</v>
      </c>
      <c r="AZ20" s="64" t="s">
        <v>375</v>
      </c>
      <c r="BA20" s="135"/>
      <c r="BB20" s="136" t="s">
        <v>104</v>
      </c>
      <c r="BC20" s="137" t="s">
        <v>100</v>
      </c>
      <c r="BD20" s="138"/>
      <c r="BE20" s="138"/>
      <c r="BF20" s="138"/>
      <c r="BG20" s="215"/>
      <c r="BH20" s="234">
        <f>SUM(BH21:BH29)</f>
        <v>0</v>
      </c>
      <c r="BI20" s="234">
        <f>SUM(BI21:BI29)</f>
        <v>0</v>
      </c>
      <c r="BJ20" s="254">
        <f t="shared" si="7"/>
        <v>16000</v>
      </c>
      <c r="BK20" s="207">
        <f t="shared" si="8"/>
        <v>426572</v>
      </c>
    </row>
    <row r="21" spans="1:63" s="110" customFormat="1" ht="15" customHeight="1" thickBot="1">
      <c r="A21" s="64" t="s">
        <v>36</v>
      </c>
      <c r="B21" s="109"/>
      <c r="C21" s="112"/>
      <c r="D21" s="113" t="s">
        <v>671</v>
      </c>
      <c r="E21" s="107" t="s">
        <v>680</v>
      </c>
      <c r="F21" s="107"/>
      <c r="G21" s="107"/>
      <c r="H21" s="97"/>
      <c r="I21" s="108">
        <f>'3. melléklet'!Z20+'2. melléklet'!BB20+'2. melléklet'!BC20++'2. melléklet'!DB20+'2. melléklet'!AM20</f>
        <v>394</v>
      </c>
      <c r="J21" s="206">
        <f>'2. melléklet'!J20+'2. melléklet'!AN20+'2. melléklet'!AO20+'2. melléklet'!AP20+'2. melléklet'!BE20+'2. melléklet'!BF20+'2. melléklet'!BG20+'3. melléklet'!O20+'3. melléklet'!P20+'3. melléklet'!Y20+'4. melléklet'!I20</f>
        <v>0</v>
      </c>
      <c r="K21" s="206"/>
      <c r="L21" s="206">
        <f>'2. melléklet'!AC20+'2. melléklet'!AQ20</f>
        <v>0</v>
      </c>
      <c r="M21" s="206">
        <f>SUM('4. melléklet'!J20:L20)</f>
        <v>0</v>
      </c>
      <c r="N21" s="206">
        <f>'4. melléklet'!N20</f>
        <v>100</v>
      </c>
      <c r="O21" s="206">
        <f>'4. melléklet'!M20+'2. melléklet'!BR20+'2. melléklet'!BS20+'2. melléklet'!CK20+'2. melléklet'!CW20</f>
        <v>0</v>
      </c>
      <c r="P21" s="206">
        <f>'2. melléklet'!K20+'3. melléklet'!J20</f>
        <v>0</v>
      </c>
      <c r="Q21" s="206"/>
      <c r="R21" s="64" t="s">
        <v>199</v>
      </c>
      <c r="S21" s="109"/>
      <c r="T21" s="112"/>
      <c r="U21" s="113" t="s">
        <v>671</v>
      </c>
      <c r="V21" s="107" t="s">
        <v>680</v>
      </c>
      <c r="W21" s="107"/>
      <c r="X21" s="107"/>
      <c r="Y21" s="117"/>
      <c r="Z21" s="206">
        <f>'2. melléklet'!BD20+'2. melléklet'!AR20</f>
        <v>0</v>
      </c>
      <c r="AA21" s="206">
        <f>SUM('2. melléklet'!Z20:AB20)</f>
        <v>0</v>
      </c>
      <c r="AB21" s="206">
        <f>'3. melléklet'!I20+'3. melléklet'!K20+'3. melléklet'!L20+'3. melléklet'!M20+'2. melléklet'!I20+'2. melléklet'!L20+'2. melléklet'!M20+'2. melléklet'!O20</f>
        <v>0</v>
      </c>
      <c r="AC21" s="206">
        <f>SUM('2. melléklet'!BT20:BW20)</f>
        <v>0</v>
      </c>
      <c r="AD21" s="206"/>
      <c r="AE21" s="206"/>
      <c r="AF21" s="206"/>
      <c r="AG21" s="206"/>
      <c r="AH21" s="254">
        <f t="shared" si="5"/>
        <v>494</v>
      </c>
      <c r="AI21" s="64" t="s">
        <v>300</v>
      </c>
      <c r="AJ21" s="109"/>
      <c r="AK21" s="112"/>
      <c r="AL21" s="113" t="s">
        <v>671</v>
      </c>
      <c r="AM21" s="107" t="s">
        <v>680</v>
      </c>
      <c r="AN21" s="107"/>
      <c r="AO21" s="107"/>
      <c r="AP21" s="117"/>
      <c r="AQ21" s="206"/>
      <c r="AR21" s="206">
        <f>'2. melléklet'!N20</f>
        <v>0</v>
      </c>
      <c r="AS21" s="206"/>
      <c r="AT21" s="206"/>
      <c r="AU21" s="206"/>
      <c r="AV21" s="206"/>
      <c r="AW21" s="206"/>
      <c r="AX21" s="206"/>
      <c r="AY21" s="206"/>
      <c r="AZ21" s="64" t="s">
        <v>376</v>
      </c>
      <c r="BA21" s="109"/>
      <c r="BB21" s="112"/>
      <c r="BC21" s="113" t="s">
        <v>671</v>
      </c>
      <c r="BD21" s="107" t="s">
        <v>680</v>
      </c>
      <c r="BE21" s="107"/>
      <c r="BF21" s="107"/>
      <c r="BG21" s="117"/>
      <c r="BH21" s="206"/>
      <c r="BI21" s="206"/>
      <c r="BJ21" s="254">
        <f t="shared" si="7"/>
        <v>0</v>
      </c>
      <c r="BK21" s="206">
        <f t="shared" si="8"/>
        <v>494</v>
      </c>
    </row>
    <row r="22" spans="1:63" s="110" customFormat="1" ht="15" customHeight="1" thickBot="1">
      <c r="A22" s="64" t="s">
        <v>37</v>
      </c>
      <c r="B22" s="109"/>
      <c r="C22" s="112"/>
      <c r="D22" s="113" t="s">
        <v>672</v>
      </c>
      <c r="E22" s="107" t="s">
        <v>681</v>
      </c>
      <c r="F22" s="107"/>
      <c r="G22" s="107"/>
      <c r="H22" s="97"/>
      <c r="I22" s="108">
        <f>'3. melléklet'!Z21+'2. melléklet'!BB21+'2. melléklet'!BC21++'2. melléklet'!DB21+'2. melléklet'!AM21</f>
        <v>0</v>
      </c>
      <c r="J22" s="206">
        <f>'2. melléklet'!J21+'2. melléklet'!AN21+'2. melléklet'!AO21+'2. melléklet'!AP21+'2. melléklet'!BE21+'2. melléklet'!BF21+'2. melléklet'!BG21+'3. melléklet'!O21+'3. melléklet'!P21+'3. melléklet'!Y21+'4. melléklet'!I21</f>
        <v>103200</v>
      </c>
      <c r="K22" s="206"/>
      <c r="L22" s="206">
        <f>'2. melléklet'!AC21+'2. melléklet'!AQ21</f>
        <v>0</v>
      </c>
      <c r="M22" s="206">
        <f>SUM('4. melléklet'!J21:L21)</f>
        <v>33517</v>
      </c>
      <c r="N22" s="206">
        <f>'4. melléklet'!N21</f>
        <v>6049</v>
      </c>
      <c r="O22" s="206">
        <f>'4. melléklet'!M21+'2. melléklet'!BR21+'2. melléklet'!BS21+'2. melléklet'!CK21+'2. melléklet'!CW21</f>
        <v>418</v>
      </c>
      <c r="P22" s="206">
        <f>'2. melléklet'!K21+'3. melléklet'!J21</f>
        <v>0</v>
      </c>
      <c r="Q22" s="206"/>
      <c r="R22" s="64" t="s">
        <v>200</v>
      </c>
      <c r="S22" s="109"/>
      <c r="T22" s="112"/>
      <c r="U22" s="113" t="s">
        <v>672</v>
      </c>
      <c r="V22" s="107" t="s">
        <v>681</v>
      </c>
      <c r="W22" s="107"/>
      <c r="X22" s="107"/>
      <c r="Y22" s="117"/>
      <c r="Z22" s="206">
        <f>'2. melléklet'!BD21+'2. melléklet'!AR21</f>
        <v>7150</v>
      </c>
      <c r="AA22" s="206">
        <f>SUM('2. melléklet'!Z21:AB21)</f>
        <v>0</v>
      </c>
      <c r="AB22" s="206">
        <f>'3. melléklet'!I21+'3. melléklet'!K21+'3. melléklet'!L21+'3. melléklet'!M21+'2. melléklet'!I21+'2. melléklet'!L21+'2. melléklet'!M21+'2. melléklet'!O21</f>
        <v>582</v>
      </c>
      <c r="AC22" s="206">
        <f>SUM('2. melléklet'!BT21:BW21)</f>
        <v>501</v>
      </c>
      <c r="AD22" s="206"/>
      <c r="AE22" s="206">
        <f>'2. melléklet'!CZ21</f>
        <v>0</v>
      </c>
      <c r="AF22" s="206"/>
      <c r="AG22" s="206"/>
      <c r="AH22" s="254">
        <f t="shared" si="5"/>
        <v>151417</v>
      </c>
      <c r="AI22" s="64" t="s">
        <v>301</v>
      </c>
      <c r="AJ22" s="109"/>
      <c r="AK22" s="112"/>
      <c r="AL22" s="113" t="s">
        <v>672</v>
      </c>
      <c r="AM22" s="107" t="s">
        <v>681</v>
      </c>
      <c r="AN22" s="107"/>
      <c r="AO22" s="107"/>
      <c r="AP22" s="117"/>
      <c r="AQ22" s="206"/>
      <c r="AR22" s="206">
        <f>'2. melléklet'!N21</f>
        <v>12598</v>
      </c>
      <c r="AS22" s="206"/>
      <c r="AT22" s="206"/>
      <c r="AU22" s="206"/>
      <c r="AV22" s="206"/>
      <c r="AW22" s="206"/>
      <c r="AX22" s="206"/>
      <c r="AY22" s="206"/>
      <c r="AZ22" s="64" t="s">
        <v>377</v>
      </c>
      <c r="BA22" s="109"/>
      <c r="BB22" s="112"/>
      <c r="BC22" s="113" t="s">
        <v>672</v>
      </c>
      <c r="BD22" s="107" t="s">
        <v>681</v>
      </c>
      <c r="BE22" s="107"/>
      <c r="BF22" s="107"/>
      <c r="BG22" s="117"/>
      <c r="BH22" s="206"/>
      <c r="BI22" s="206"/>
      <c r="BJ22" s="254">
        <f t="shared" si="7"/>
        <v>12598</v>
      </c>
      <c r="BK22" s="206">
        <f t="shared" si="8"/>
        <v>164015</v>
      </c>
    </row>
    <row r="23" spans="1:63" s="110" customFormat="1" ht="15" customHeight="1" thickBot="1">
      <c r="A23" s="64" t="s">
        <v>38</v>
      </c>
      <c r="B23" s="109"/>
      <c r="C23" s="112"/>
      <c r="D23" s="113" t="s">
        <v>673</v>
      </c>
      <c r="E23" s="97" t="s">
        <v>682</v>
      </c>
      <c r="F23" s="97"/>
      <c r="G23" s="97"/>
      <c r="H23" s="97"/>
      <c r="I23" s="108">
        <f>'3. melléklet'!Z22+'2. melléklet'!BB22+'2. melléklet'!BC22++'2. melléklet'!DB22+'2. melléklet'!AM22</f>
        <v>0</v>
      </c>
      <c r="J23" s="206">
        <f>'2. melléklet'!J22+'2. melléklet'!AN22+'2. melléklet'!AO22+'2. melléklet'!AP22+'2. melléklet'!BE22+'2. melléklet'!BF22+'2. melléklet'!BG22+'3. melléklet'!O22+'3. melléklet'!P22+'3. melléklet'!Y22+'4. melléklet'!I22</f>
        <v>0</v>
      </c>
      <c r="K23" s="206"/>
      <c r="L23" s="206">
        <f>'2. melléklet'!AC22+'2. melléklet'!AQ22</f>
        <v>0</v>
      </c>
      <c r="M23" s="206">
        <f>SUM('4. melléklet'!J22:L22)</f>
        <v>0</v>
      </c>
      <c r="N23" s="206">
        <f>'4. melléklet'!N22</f>
        <v>250</v>
      </c>
      <c r="O23" s="206">
        <f>'4. melléklet'!M22+'2. melléklet'!BR22+'2. melléklet'!BS22+'2. melléklet'!CK22+'2. melléklet'!CW22</f>
        <v>0</v>
      </c>
      <c r="P23" s="206">
        <f>'2. melléklet'!K22+'3. melléklet'!J22</f>
        <v>0</v>
      </c>
      <c r="Q23" s="206"/>
      <c r="R23" s="64" t="s">
        <v>201</v>
      </c>
      <c r="S23" s="109"/>
      <c r="T23" s="112"/>
      <c r="U23" s="113" t="s">
        <v>673</v>
      </c>
      <c r="V23" s="97" t="s">
        <v>682</v>
      </c>
      <c r="W23" s="97"/>
      <c r="X23" s="97"/>
      <c r="Y23" s="117"/>
      <c r="Z23" s="206">
        <f>'2. melléklet'!BD22+'2. melléklet'!AR22</f>
        <v>0</v>
      </c>
      <c r="AA23" s="206">
        <f>SUM('2. melléklet'!Z22:AB22)</f>
        <v>0</v>
      </c>
      <c r="AB23" s="206">
        <f>'3. melléklet'!I22+'3. melléklet'!K22+'3. melléklet'!L22+'3. melléklet'!M22+'2. melléklet'!I22+'2. melléklet'!L22+'2. melléklet'!M22+'2. melléklet'!O22</f>
        <v>9025</v>
      </c>
      <c r="AC23" s="206">
        <f>SUM('2. melléklet'!BT22:BW22)</f>
        <v>0</v>
      </c>
      <c r="AD23" s="206"/>
      <c r="AE23" s="206"/>
      <c r="AF23" s="206"/>
      <c r="AG23" s="206"/>
      <c r="AH23" s="254">
        <f t="shared" si="5"/>
        <v>9275</v>
      </c>
      <c r="AI23" s="64" t="s">
        <v>302</v>
      </c>
      <c r="AJ23" s="109"/>
      <c r="AK23" s="112"/>
      <c r="AL23" s="113" t="s">
        <v>673</v>
      </c>
      <c r="AM23" s="97" t="s">
        <v>682</v>
      </c>
      <c r="AN23" s="97"/>
      <c r="AO23" s="97"/>
      <c r="AP23" s="117"/>
      <c r="AQ23" s="206"/>
      <c r="AR23" s="206">
        <f>'2. melléklet'!N22</f>
        <v>0</v>
      </c>
      <c r="AS23" s="206"/>
      <c r="AT23" s="206"/>
      <c r="AU23" s="206"/>
      <c r="AV23" s="206"/>
      <c r="AW23" s="206"/>
      <c r="AX23" s="206"/>
      <c r="AY23" s="206"/>
      <c r="AZ23" s="64" t="s">
        <v>378</v>
      </c>
      <c r="BA23" s="109"/>
      <c r="BB23" s="112"/>
      <c r="BC23" s="113" t="s">
        <v>673</v>
      </c>
      <c r="BD23" s="97" t="s">
        <v>682</v>
      </c>
      <c r="BE23" s="97"/>
      <c r="BF23" s="97"/>
      <c r="BG23" s="117"/>
      <c r="BH23" s="206"/>
      <c r="BI23" s="206"/>
      <c r="BJ23" s="254">
        <f t="shared" si="7"/>
        <v>0</v>
      </c>
      <c r="BK23" s="206">
        <f t="shared" si="8"/>
        <v>9275</v>
      </c>
    </row>
    <row r="24" spans="1:63" s="110" customFormat="1" ht="15" customHeight="1" thickBot="1">
      <c r="A24" s="64" t="s">
        <v>39</v>
      </c>
      <c r="B24" s="109"/>
      <c r="C24" s="112"/>
      <c r="D24" s="113" t="s">
        <v>674</v>
      </c>
      <c r="E24" s="97" t="s">
        <v>683</v>
      </c>
      <c r="F24" s="107"/>
      <c r="G24" s="107"/>
      <c r="H24" s="107"/>
      <c r="I24" s="108">
        <f>'3. melléklet'!Z23+'2. melléklet'!BB23+'2. melléklet'!BC23++'2. melléklet'!DB23+'2. melléklet'!AM23</f>
        <v>0</v>
      </c>
      <c r="J24" s="206">
        <f>'2. melléklet'!J23+'2. melléklet'!AN23+'2. melléklet'!AO23+'2. melléklet'!AP23+'2. melléklet'!BE23+'2. melléklet'!BF23+'2. melléklet'!BG23+'3. melléklet'!O23+'3. melléklet'!P23+'3. melléklet'!Y23+'4. melléklet'!I23</f>
        <v>9193</v>
      </c>
      <c r="K24" s="206"/>
      <c r="L24" s="206">
        <f>'2. melléklet'!AC23+'2. melléklet'!AQ23</f>
        <v>0</v>
      </c>
      <c r="M24" s="206">
        <f>SUM('4. melléklet'!J23:L23)</f>
        <v>0</v>
      </c>
      <c r="N24" s="206">
        <f>'4. melléklet'!N23</f>
        <v>0</v>
      </c>
      <c r="O24" s="206">
        <f>'4. melléklet'!M23+'2. melléklet'!BR23+'2. melléklet'!BS23+'2. melléklet'!CK23+'2. melléklet'!CW23</f>
        <v>0</v>
      </c>
      <c r="P24" s="206">
        <f>'2. melléklet'!K23+'3. melléklet'!J23+'2. melléklet'!CX23</f>
        <v>58612</v>
      </c>
      <c r="Q24" s="206"/>
      <c r="R24" s="64" t="s">
        <v>202</v>
      </c>
      <c r="S24" s="109"/>
      <c r="T24" s="112"/>
      <c r="U24" s="113" t="s">
        <v>674</v>
      </c>
      <c r="V24" s="97" t="s">
        <v>683</v>
      </c>
      <c r="W24" s="107"/>
      <c r="X24" s="107"/>
      <c r="Y24" s="214"/>
      <c r="Z24" s="206">
        <f>'2. melléklet'!BD23+'2. melléklet'!AR23</f>
        <v>19291</v>
      </c>
      <c r="AA24" s="206">
        <f>SUM('2. melléklet'!Z23:AB23)</f>
        <v>0</v>
      </c>
      <c r="AB24" s="206">
        <f>'3. melléklet'!I23+'3. melléklet'!K23+'3. melléklet'!L23+'3. melléklet'!M23+'2. melléklet'!I23+'2. melléklet'!L23+'2. melléklet'!M23+'2. melléklet'!O23</f>
        <v>0</v>
      </c>
      <c r="AC24" s="206">
        <f>SUM('2. melléklet'!BT23:BW23)</f>
        <v>0</v>
      </c>
      <c r="AD24" s="206"/>
      <c r="AE24" s="206"/>
      <c r="AF24" s="206"/>
      <c r="AG24" s="206"/>
      <c r="AH24" s="254">
        <f t="shared" si="5"/>
        <v>87096</v>
      </c>
      <c r="AI24" s="64" t="s">
        <v>303</v>
      </c>
      <c r="AJ24" s="109"/>
      <c r="AK24" s="112"/>
      <c r="AL24" s="113" t="s">
        <v>674</v>
      </c>
      <c r="AM24" s="97" t="s">
        <v>683</v>
      </c>
      <c r="AN24" s="107"/>
      <c r="AO24" s="107"/>
      <c r="AP24" s="214"/>
      <c r="AQ24" s="206"/>
      <c r="AR24" s="206">
        <f>'2. melléklet'!N23</f>
        <v>0</v>
      </c>
      <c r="AS24" s="206"/>
      <c r="AT24" s="206"/>
      <c r="AU24" s="206"/>
      <c r="AV24" s="206"/>
      <c r="AW24" s="206"/>
      <c r="AX24" s="206"/>
      <c r="AY24" s="206"/>
      <c r="AZ24" s="64" t="s">
        <v>379</v>
      </c>
      <c r="BA24" s="109"/>
      <c r="BB24" s="112"/>
      <c r="BC24" s="113" t="s">
        <v>674</v>
      </c>
      <c r="BD24" s="97" t="s">
        <v>683</v>
      </c>
      <c r="BE24" s="107"/>
      <c r="BF24" s="107"/>
      <c r="BG24" s="214"/>
      <c r="BH24" s="206"/>
      <c r="BI24" s="206"/>
      <c r="BJ24" s="254">
        <f t="shared" si="7"/>
        <v>0</v>
      </c>
      <c r="BK24" s="206">
        <f t="shared" si="8"/>
        <v>87096</v>
      </c>
    </row>
    <row r="25" spans="1:63" s="110" customFormat="1" ht="15" customHeight="1" thickBot="1">
      <c r="A25" s="64" t="s">
        <v>41</v>
      </c>
      <c r="B25" s="109"/>
      <c r="C25" s="112"/>
      <c r="D25" s="113" t="s">
        <v>675</v>
      </c>
      <c r="E25" s="97" t="s">
        <v>684</v>
      </c>
      <c r="F25" s="107"/>
      <c r="G25" s="107"/>
      <c r="H25" s="107"/>
      <c r="I25" s="108">
        <f>'3. melléklet'!Z24+'2. melléklet'!BB24+'2. melléklet'!BC24++'2. melléklet'!DB24+'2. melléklet'!AM24</f>
        <v>0</v>
      </c>
      <c r="J25" s="206">
        <f>'2. melléklet'!J24+'2. melléklet'!AN24+'2. melléklet'!AO24+'2. melléklet'!AP24+'2. melléklet'!BE24+'2. melléklet'!BF24+'2. melléklet'!BG24+'3. melléklet'!O24+'3. melléklet'!P24+'3. melléklet'!Y24+'4. melléklet'!I24</f>
        <v>31746</v>
      </c>
      <c r="K25" s="206"/>
      <c r="L25" s="206">
        <f>'2. melléklet'!AC24+'2. melléklet'!AQ24</f>
        <v>0</v>
      </c>
      <c r="M25" s="206">
        <f>SUM('4. melléklet'!J24:L24)</f>
        <v>18258</v>
      </c>
      <c r="N25" s="206">
        <f>'4. melléklet'!N24</f>
        <v>0</v>
      </c>
      <c r="O25" s="206">
        <f>'4. melléklet'!M24+'2. melléklet'!BR24+'2. melléklet'!BS24+'2. melléklet'!CK24+'2. melléklet'!CW24</f>
        <v>3110</v>
      </c>
      <c r="P25" s="206">
        <f>'2. melléklet'!K24+'3. melléklet'!J24+'2. melléklet'!CX24</f>
        <v>0</v>
      </c>
      <c r="Q25" s="206"/>
      <c r="R25" s="64" t="s">
        <v>203</v>
      </c>
      <c r="S25" s="109"/>
      <c r="T25" s="112"/>
      <c r="U25" s="113" t="s">
        <v>675</v>
      </c>
      <c r="V25" s="97" t="s">
        <v>684</v>
      </c>
      <c r="W25" s="107"/>
      <c r="X25" s="107"/>
      <c r="Y25" s="214"/>
      <c r="Z25" s="206">
        <f>'2. melléklet'!BD24+'2. melléklet'!AR24</f>
        <v>0</v>
      </c>
      <c r="AA25" s="206">
        <f>SUM('2. melléklet'!Z24:AB24)</f>
        <v>0</v>
      </c>
      <c r="AB25" s="206">
        <f>'3. melléklet'!I24+'3. melléklet'!K24+'3. melléklet'!L24+'3. melléklet'!M24+'2. melléklet'!I24+'2. melléklet'!L24+'2. melléklet'!M24+'2. melléklet'!O24</f>
        <v>0</v>
      </c>
      <c r="AC25" s="206">
        <f>SUM('2. melléklet'!BT24:BW24)</f>
        <v>0</v>
      </c>
      <c r="AD25" s="206"/>
      <c r="AE25" s="206"/>
      <c r="AF25" s="206"/>
      <c r="AG25" s="206"/>
      <c r="AH25" s="254">
        <f t="shared" si="5"/>
        <v>53114</v>
      </c>
      <c r="AI25" s="64" t="s">
        <v>304</v>
      </c>
      <c r="AJ25" s="109"/>
      <c r="AK25" s="112"/>
      <c r="AL25" s="113" t="s">
        <v>675</v>
      </c>
      <c r="AM25" s="97" t="s">
        <v>684</v>
      </c>
      <c r="AN25" s="107"/>
      <c r="AO25" s="107"/>
      <c r="AP25" s="214"/>
      <c r="AQ25" s="206"/>
      <c r="AR25" s="206">
        <f>'2. melléklet'!N24</f>
        <v>0</v>
      </c>
      <c r="AS25" s="206"/>
      <c r="AT25" s="206"/>
      <c r="AU25" s="206"/>
      <c r="AV25" s="206"/>
      <c r="AW25" s="206"/>
      <c r="AX25" s="206"/>
      <c r="AY25" s="206"/>
      <c r="AZ25" s="64" t="s">
        <v>380</v>
      </c>
      <c r="BA25" s="109"/>
      <c r="BB25" s="112"/>
      <c r="BC25" s="113" t="s">
        <v>675</v>
      </c>
      <c r="BD25" s="97" t="s">
        <v>684</v>
      </c>
      <c r="BE25" s="107"/>
      <c r="BF25" s="107"/>
      <c r="BG25" s="214"/>
      <c r="BH25" s="206"/>
      <c r="BI25" s="206"/>
      <c r="BJ25" s="254">
        <f t="shared" si="7"/>
        <v>0</v>
      </c>
      <c r="BK25" s="206">
        <f t="shared" si="8"/>
        <v>53114</v>
      </c>
    </row>
    <row r="26" spans="1:63" s="110" customFormat="1" ht="15" customHeight="1" thickBot="1">
      <c r="A26" s="64" t="s">
        <v>42</v>
      </c>
      <c r="B26" s="109"/>
      <c r="C26" s="112"/>
      <c r="D26" s="113" t="s">
        <v>676</v>
      </c>
      <c r="E26" s="97" t="s">
        <v>685</v>
      </c>
      <c r="F26" s="107"/>
      <c r="G26" s="107"/>
      <c r="H26" s="107"/>
      <c r="I26" s="108">
        <f>'3. melléklet'!Z25+'2. melléklet'!BB25+'2. melléklet'!BC25++'2. melléklet'!DB25+'2. melléklet'!AM25</f>
        <v>106</v>
      </c>
      <c r="J26" s="206">
        <f>'2. melléklet'!J25+'2. melléklet'!AN25+'2. melléklet'!AO25+'2. melléklet'!AP25+'2. melléklet'!BE25+'2. melléklet'!BF25+'2. melléklet'!BG25+'3. melléklet'!O25+'3. melléklet'!P25+'3. melléklet'!Y25+'4. melléklet'!I25</f>
        <v>42590</v>
      </c>
      <c r="K26" s="206"/>
      <c r="L26" s="206">
        <f>'2. melléklet'!AC25+'2. melléklet'!AQ25</f>
        <v>0</v>
      </c>
      <c r="M26" s="206">
        <f>SUM('4. melléklet'!J25:L25)</f>
        <v>13980</v>
      </c>
      <c r="N26" s="206">
        <f>'4. melléklet'!N25</f>
        <v>1188</v>
      </c>
      <c r="O26" s="206">
        <f>'4. melléklet'!M25+'2. melléklet'!BR25+'2. melléklet'!BS25+'2. melléklet'!CK25+'2. melléklet'!CW25</f>
        <v>953</v>
      </c>
      <c r="P26" s="206">
        <f>'2. melléklet'!K25+'3. melléklet'!J25+'2. melléklet'!CX25</f>
        <v>18241</v>
      </c>
      <c r="Q26" s="206"/>
      <c r="R26" s="64" t="s">
        <v>204</v>
      </c>
      <c r="S26" s="109"/>
      <c r="T26" s="112"/>
      <c r="U26" s="113" t="s">
        <v>676</v>
      </c>
      <c r="V26" s="97" t="s">
        <v>685</v>
      </c>
      <c r="W26" s="107"/>
      <c r="X26" s="107"/>
      <c r="Y26" s="214"/>
      <c r="Z26" s="206">
        <f>'2. melléklet'!BD25+'2. melléklet'!AR25</f>
        <v>7140</v>
      </c>
      <c r="AA26" s="206">
        <f>SUM('2. melléklet'!Z25:AB25)</f>
        <v>0</v>
      </c>
      <c r="AB26" s="206">
        <f>'3. melléklet'!I25+'3. melléklet'!K25+'3. melléklet'!L25+'3. melléklet'!M25+'2. melléklet'!I25+'2. melléklet'!L25+'2. melléklet'!M25+'2. melléklet'!O25</f>
        <v>2554</v>
      </c>
      <c r="AC26" s="206">
        <f>SUM('2. melléklet'!BT25:BW25)</f>
        <v>135</v>
      </c>
      <c r="AD26" s="206"/>
      <c r="AE26" s="206"/>
      <c r="AF26" s="206"/>
      <c r="AG26" s="206"/>
      <c r="AH26" s="254">
        <f t="shared" si="5"/>
        <v>86887</v>
      </c>
      <c r="AI26" s="64" t="s">
        <v>305</v>
      </c>
      <c r="AJ26" s="109"/>
      <c r="AK26" s="112"/>
      <c r="AL26" s="113" t="s">
        <v>676</v>
      </c>
      <c r="AM26" s="97" t="s">
        <v>685</v>
      </c>
      <c r="AN26" s="107"/>
      <c r="AO26" s="107"/>
      <c r="AP26" s="214"/>
      <c r="AQ26" s="206"/>
      <c r="AR26" s="206">
        <f>'2. melléklet'!N25</f>
        <v>3402</v>
      </c>
      <c r="AS26" s="206"/>
      <c r="AT26" s="206"/>
      <c r="AU26" s="206"/>
      <c r="AV26" s="206"/>
      <c r="AW26" s="206"/>
      <c r="AX26" s="206"/>
      <c r="AY26" s="206"/>
      <c r="AZ26" s="64" t="s">
        <v>381</v>
      </c>
      <c r="BA26" s="109"/>
      <c r="BB26" s="112"/>
      <c r="BC26" s="113" t="s">
        <v>676</v>
      </c>
      <c r="BD26" s="97" t="s">
        <v>685</v>
      </c>
      <c r="BE26" s="107"/>
      <c r="BF26" s="107"/>
      <c r="BG26" s="214"/>
      <c r="BH26" s="206"/>
      <c r="BI26" s="206"/>
      <c r="BJ26" s="254">
        <f t="shared" si="7"/>
        <v>3402</v>
      </c>
      <c r="BK26" s="206">
        <f t="shared" si="8"/>
        <v>90289</v>
      </c>
    </row>
    <row r="27" spans="1:63" s="110" customFormat="1" ht="15" customHeight="1" thickBot="1">
      <c r="A27" s="64" t="s">
        <v>44</v>
      </c>
      <c r="B27" s="109"/>
      <c r="C27" s="112"/>
      <c r="D27" s="113" t="s">
        <v>677</v>
      </c>
      <c r="E27" s="97" t="s">
        <v>686</v>
      </c>
      <c r="F27" s="107"/>
      <c r="G27" s="107"/>
      <c r="H27" s="107"/>
      <c r="I27" s="108">
        <f>'3. melléklet'!Z26+'2. melléklet'!BB26+'2. melléklet'!BC26++'2. melléklet'!DB26+'2. melléklet'!AM26</f>
        <v>0</v>
      </c>
      <c r="J27" s="206">
        <f>'2. melléklet'!J26+'2. melléklet'!AN26+'2. melléklet'!AO26+'2. melléklet'!AP26+'2. melléklet'!BE26+'2. melléklet'!BF26+'2. melléklet'!BG26+'3. melléklet'!O26+'3. melléklet'!P26+'3. melléklet'!Y26+'4. melléklet'!I26</f>
        <v>0</v>
      </c>
      <c r="K27" s="206"/>
      <c r="L27" s="206">
        <f>'2. melléklet'!AC26+'2. melléklet'!AQ26</f>
        <v>0</v>
      </c>
      <c r="M27" s="206">
        <f>SUM('4. melléklet'!J26:L26)</f>
        <v>9325</v>
      </c>
      <c r="N27" s="206">
        <f>'4. melléklet'!N26</f>
        <v>557</v>
      </c>
      <c r="O27" s="206">
        <f>'4. melléklet'!M26+'2. melléklet'!BR26+'2. melléklet'!BS26+'2. melléklet'!CK26+'2. melléklet'!CW26</f>
        <v>34</v>
      </c>
      <c r="P27" s="206">
        <f>'2. melléklet'!K26+'3. melléklet'!J26</f>
        <v>0</v>
      </c>
      <c r="Q27" s="206"/>
      <c r="R27" s="64" t="s">
        <v>205</v>
      </c>
      <c r="S27" s="109"/>
      <c r="T27" s="112"/>
      <c r="U27" s="113" t="s">
        <v>677</v>
      </c>
      <c r="V27" s="97" t="s">
        <v>686</v>
      </c>
      <c r="W27" s="107"/>
      <c r="X27" s="107"/>
      <c r="Y27" s="214"/>
      <c r="Z27" s="206">
        <f>'2. melléklet'!BD26+'2. melléklet'!AR26</f>
        <v>0</v>
      </c>
      <c r="AA27" s="206">
        <f>SUM('2. melléklet'!Z26:AB26)</f>
        <v>0</v>
      </c>
      <c r="AB27" s="206">
        <f>'3. melléklet'!I26+'3. melléklet'!K26+'3. melléklet'!L26+'3. melléklet'!M26+'2. melléklet'!I26+'2. melléklet'!L26+'2. melléklet'!M26+'2. melléklet'!O26</f>
        <v>3050</v>
      </c>
      <c r="AC27" s="206">
        <f>SUM('2. melléklet'!BT26:BW26)</f>
        <v>0</v>
      </c>
      <c r="AD27" s="206"/>
      <c r="AE27" s="206"/>
      <c r="AF27" s="206"/>
      <c r="AG27" s="206"/>
      <c r="AH27" s="254">
        <f t="shared" si="5"/>
        <v>12966</v>
      </c>
      <c r="AI27" s="64" t="s">
        <v>306</v>
      </c>
      <c r="AJ27" s="109"/>
      <c r="AK27" s="112"/>
      <c r="AL27" s="113" t="s">
        <v>677</v>
      </c>
      <c r="AM27" s="97" t="s">
        <v>686</v>
      </c>
      <c r="AN27" s="107"/>
      <c r="AO27" s="107"/>
      <c r="AP27" s="214"/>
      <c r="AQ27" s="206"/>
      <c r="AR27" s="206">
        <f>'2. melléklet'!N26</f>
        <v>0</v>
      </c>
      <c r="AS27" s="206"/>
      <c r="AT27" s="206"/>
      <c r="AU27" s="206"/>
      <c r="AV27" s="206"/>
      <c r="AW27" s="206"/>
      <c r="AX27" s="206"/>
      <c r="AY27" s="206"/>
      <c r="AZ27" s="64" t="s">
        <v>382</v>
      </c>
      <c r="BA27" s="109"/>
      <c r="BB27" s="112"/>
      <c r="BC27" s="113" t="s">
        <v>677</v>
      </c>
      <c r="BD27" s="97" t="s">
        <v>686</v>
      </c>
      <c r="BE27" s="107"/>
      <c r="BF27" s="107"/>
      <c r="BG27" s="214"/>
      <c r="BH27" s="206"/>
      <c r="BI27" s="206"/>
      <c r="BJ27" s="254">
        <f t="shared" si="7"/>
        <v>0</v>
      </c>
      <c r="BK27" s="206">
        <f t="shared" si="8"/>
        <v>12966</v>
      </c>
    </row>
    <row r="28" spans="1:63" s="110" customFormat="1" ht="15" customHeight="1" thickBot="1">
      <c r="A28" s="64" t="s">
        <v>45</v>
      </c>
      <c r="B28" s="109"/>
      <c r="C28" s="112"/>
      <c r="D28" s="113" t="s">
        <v>678</v>
      </c>
      <c r="E28" s="97" t="s">
        <v>687</v>
      </c>
      <c r="F28" s="107"/>
      <c r="G28" s="107"/>
      <c r="H28" s="107"/>
      <c r="I28" s="108">
        <f>'3. melléklet'!Z27+'2. melléklet'!BB27+'2. melléklet'!BC27++'2. melléklet'!DB27+'2. melléklet'!AM27</f>
        <v>0</v>
      </c>
      <c r="J28" s="206">
        <f>'2. melléklet'!J27+'2. melléklet'!AN27+'2. melléklet'!AO27+'2. melléklet'!AP27+'2. melléklet'!BE27+'2. melléklet'!BF27+'2. melléklet'!BG27+'3. melléklet'!O27+'3. melléklet'!P27+'3. melléklet'!Y27+'4. melléklet'!I27</f>
        <v>0</v>
      </c>
      <c r="K28" s="206"/>
      <c r="L28" s="206">
        <f>'2. melléklet'!AC27+'2. melléklet'!AQ27</f>
        <v>0</v>
      </c>
      <c r="M28" s="206">
        <f>SUM('4. melléklet'!J27:L27)</f>
        <v>23</v>
      </c>
      <c r="N28" s="206">
        <f>'4. melléklet'!N27</f>
        <v>0</v>
      </c>
      <c r="O28" s="206">
        <f>'4. melléklet'!M27+'2. melléklet'!BR27+'2. melléklet'!BS27+'2. melléklet'!CK27+'2. melléklet'!CW27</f>
        <v>0</v>
      </c>
      <c r="P28" s="206">
        <f>'2. melléklet'!K27+'3. melléklet'!J27</f>
        <v>0</v>
      </c>
      <c r="Q28" s="206"/>
      <c r="R28" s="64" t="s">
        <v>206</v>
      </c>
      <c r="S28" s="109"/>
      <c r="T28" s="112"/>
      <c r="U28" s="113" t="s">
        <v>678</v>
      </c>
      <c r="V28" s="97" t="s">
        <v>687</v>
      </c>
      <c r="W28" s="107"/>
      <c r="X28" s="107"/>
      <c r="Y28" s="214"/>
      <c r="Z28" s="206">
        <f>'2. melléklet'!BD27+'2. melléklet'!AR27</f>
        <v>0</v>
      </c>
      <c r="AA28" s="206">
        <f>SUM('2. melléklet'!Z27:AB27)</f>
        <v>0</v>
      </c>
      <c r="AB28" s="206">
        <f>'3. melléklet'!I27+'3. melléklet'!K27+'3. melléklet'!L27+'3. melléklet'!M27+'2. melléklet'!I27+'2. melléklet'!L27+'2. melléklet'!M27+'2. melléklet'!O27</f>
        <v>9000</v>
      </c>
      <c r="AC28" s="206">
        <f>SUM('2. melléklet'!BT27:BW27)</f>
        <v>0</v>
      </c>
      <c r="AD28" s="206"/>
      <c r="AE28" s="206"/>
      <c r="AF28" s="206"/>
      <c r="AG28" s="206"/>
      <c r="AH28" s="254">
        <f t="shared" si="5"/>
        <v>9023</v>
      </c>
      <c r="AI28" s="64" t="s">
        <v>307</v>
      </c>
      <c r="AJ28" s="109"/>
      <c r="AK28" s="112"/>
      <c r="AL28" s="113" t="s">
        <v>678</v>
      </c>
      <c r="AM28" s="97" t="s">
        <v>687</v>
      </c>
      <c r="AN28" s="107"/>
      <c r="AO28" s="107"/>
      <c r="AP28" s="214"/>
      <c r="AQ28" s="206"/>
      <c r="AR28" s="206">
        <f>'2. melléklet'!N27</f>
        <v>0</v>
      </c>
      <c r="AS28" s="206"/>
      <c r="AT28" s="206"/>
      <c r="AU28" s="206"/>
      <c r="AV28" s="206"/>
      <c r="AW28" s="206"/>
      <c r="AX28" s="206"/>
      <c r="AY28" s="206"/>
      <c r="AZ28" s="64" t="s">
        <v>383</v>
      </c>
      <c r="BA28" s="109"/>
      <c r="BB28" s="112"/>
      <c r="BC28" s="113" t="s">
        <v>678</v>
      </c>
      <c r="BD28" s="97" t="s">
        <v>687</v>
      </c>
      <c r="BE28" s="107"/>
      <c r="BF28" s="107"/>
      <c r="BG28" s="214"/>
      <c r="BH28" s="206"/>
      <c r="BI28" s="206"/>
      <c r="BJ28" s="254">
        <f t="shared" si="7"/>
        <v>0</v>
      </c>
      <c r="BK28" s="206">
        <f t="shared" si="8"/>
        <v>9023</v>
      </c>
    </row>
    <row r="29" spans="1:63" s="110" customFormat="1" ht="15" customHeight="1" thickBot="1">
      <c r="A29" s="64" t="s">
        <v>46</v>
      </c>
      <c r="B29" s="109"/>
      <c r="C29" s="112"/>
      <c r="D29" s="113" t="s">
        <v>679</v>
      </c>
      <c r="E29" s="97" t="s">
        <v>688</v>
      </c>
      <c r="F29" s="107"/>
      <c r="G29" s="107"/>
      <c r="H29" s="107"/>
      <c r="I29" s="108">
        <f>'3. melléklet'!Z28+'2. melléklet'!BB28+'2. melléklet'!BC28++'2. melléklet'!DB28+'2. melléklet'!AM28</f>
        <v>0</v>
      </c>
      <c r="J29" s="206">
        <f>'2. melléklet'!J28+'2. melléklet'!AN28+'2. melléklet'!AO28+'2. melléklet'!AP28+'2. melléklet'!BE28+'2. melléklet'!BF28+'2. melléklet'!BG28+'3. melléklet'!O28+'3. melléklet'!P28+'3. melléklet'!Y28+'4. melléklet'!I28</f>
        <v>0</v>
      </c>
      <c r="K29" s="206"/>
      <c r="L29" s="206">
        <f>'2. melléklet'!AC28+'2. melléklet'!AQ28</f>
        <v>0</v>
      </c>
      <c r="M29" s="206">
        <f>SUM('4. melléklet'!J28:L28)</f>
        <v>0</v>
      </c>
      <c r="N29" s="206">
        <f>'4. melléklet'!N28</f>
        <v>0</v>
      </c>
      <c r="O29" s="206">
        <f>'4. melléklet'!M28+'2. melléklet'!BR28+'2. melléklet'!BS28+'2. melléklet'!CK28+'2. melléklet'!CW28</f>
        <v>0</v>
      </c>
      <c r="P29" s="206">
        <f>'2. melléklet'!K28+'3. melléklet'!J28</f>
        <v>0</v>
      </c>
      <c r="Q29" s="206"/>
      <c r="R29" s="64" t="s">
        <v>207</v>
      </c>
      <c r="S29" s="109"/>
      <c r="T29" s="112"/>
      <c r="U29" s="113" t="s">
        <v>679</v>
      </c>
      <c r="V29" s="97" t="s">
        <v>688</v>
      </c>
      <c r="W29" s="107"/>
      <c r="X29" s="107"/>
      <c r="Y29" s="214"/>
      <c r="Z29" s="206">
        <f>'2. melléklet'!BD28+'2. melléklet'!AR28</f>
        <v>0</v>
      </c>
      <c r="AA29" s="206">
        <f>SUM('2. melléklet'!Z28:AB28)</f>
        <v>0</v>
      </c>
      <c r="AB29" s="206">
        <f>'3. melléklet'!I28+'3. melléklet'!K28+'3. melléklet'!L28+'3. melléklet'!M28+'2. melléklet'!I28+'2. melléklet'!L28+'2. melléklet'!M28+'2. melléklet'!O28</f>
        <v>0</v>
      </c>
      <c r="AC29" s="206">
        <f>SUM('2. melléklet'!BT28:BW28)</f>
        <v>0</v>
      </c>
      <c r="AD29" s="206"/>
      <c r="AE29" s="206"/>
      <c r="AF29" s="206">
        <f>'2. melléklet'!CZ28</f>
        <v>300</v>
      </c>
      <c r="AG29" s="206"/>
      <c r="AH29" s="254">
        <f t="shared" si="5"/>
        <v>300</v>
      </c>
      <c r="AI29" s="64" t="s">
        <v>308</v>
      </c>
      <c r="AJ29" s="109"/>
      <c r="AK29" s="112"/>
      <c r="AL29" s="113" t="s">
        <v>679</v>
      </c>
      <c r="AM29" s="97" t="s">
        <v>688</v>
      </c>
      <c r="AN29" s="107"/>
      <c r="AO29" s="107"/>
      <c r="AP29" s="214"/>
      <c r="AQ29" s="206"/>
      <c r="AR29" s="206">
        <f>'2. melléklet'!N28</f>
        <v>0</v>
      </c>
      <c r="AS29" s="206"/>
      <c r="AT29" s="206"/>
      <c r="AU29" s="206"/>
      <c r="AV29" s="206"/>
      <c r="AW29" s="206"/>
      <c r="AX29" s="206"/>
      <c r="AY29" s="206"/>
      <c r="AZ29" s="64" t="s">
        <v>384</v>
      </c>
      <c r="BA29" s="109"/>
      <c r="BB29" s="112"/>
      <c r="BC29" s="113" t="s">
        <v>679</v>
      </c>
      <c r="BD29" s="97" t="s">
        <v>688</v>
      </c>
      <c r="BE29" s="107"/>
      <c r="BF29" s="107"/>
      <c r="BG29" s="214"/>
      <c r="BH29" s="206"/>
      <c r="BI29" s="206"/>
      <c r="BJ29" s="254">
        <f t="shared" si="7"/>
        <v>0</v>
      </c>
      <c r="BK29" s="206">
        <f t="shared" si="8"/>
        <v>300</v>
      </c>
    </row>
    <row r="30" spans="1:63" s="134" customFormat="1" ht="15" customHeight="1" thickBot="1">
      <c r="A30" s="64" t="s">
        <v>48</v>
      </c>
      <c r="B30" s="135"/>
      <c r="C30" s="136" t="s">
        <v>105</v>
      </c>
      <c r="D30" s="140" t="s">
        <v>565</v>
      </c>
      <c r="E30" s="141"/>
      <c r="F30" s="138"/>
      <c r="G30" s="138"/>
      <c r="H30" s="138"/>
      <c r="I30" s="139">
        <f>SUM(I31:I32)</f>
        <v>0</v>
      </c>
      <c r="J30" s="139">
        <f aca="true" t="shared" si="15" ref="J30:Q30">SUM(J31:J32)</f>
        <v>0</v>
      </c>
      <c r="K30" s="139">
        <f t="shared" si="15"/>
        <v>0</v>
      </c>
      <c r="L30" s="139">
        <f>SUM(L31:L32)</f>
        <v>0</v>
      </c>
      <c r="M30" s="139">
        <f t="shared" si="15"/>
        <v>0</v>
      </c>
      <c r="N30" s="139">
        <f t="shared" si="15"/>
        <v>0</v>
      </c>
      <c r="O30" s="139">
        <f t="shared" si="15"/>
        <v>0</v>
      </c>
      <c r="P30" s="139">
        <f t="shared" si="15"/>
        <v>0</v>
      </c>
      <c r="Q30" s="139">
        <f t="shared" si="15"/>
        <v>0</v>
      </c>
      <c r="R30" s="64" t="s">
        <v>208</v>
      </c>
      <c r="S30" s="135"/>
      <c r="T30" s="136" t="s">
        <v>105</v>
      </c>
      <c r="U30" s="140" t="s">
        <v>565</v>
      </c>
      <c r="V30" s="141"/>
      <c r="W30" s="138"/>
      <c r="X30" s="138"/>
      <c r="Y30" s="215"/>
      <c r="Z30" s="139">
        <f aca="true" t="shared" si="16" ref="Z30:AG30">SUM(Z31:Z32)</f>
        <v>0</v>
      </c>
      <c r="AA30" s="207">
        <f t="shared" si="16"/>
        <v>0</v>
      </c>
      <c r="AB30" s="207">
        <f t="shared" si="16"/>
        <v>6100</v>
      </c>
      <c r="AC30" s="207">
        <f t="shared" si="16"/>
        <v>0</v>
      </c>
      <c r="AD30" s="207">
        <f>SUM(AD31:AD32)</f>
        <v>0</v>
      </c>
      <c r="AE30" s="207">
        <f>SUM(AE31:AE32)</f>
        <v>0</v>
      </c>
      <c r="AF30" s="207">
        <f>SUM(AF31:AF32)</f>
        <v>0</v>
      </c>
      <c r="AG30" s="207">
        <f t="shared" si="16"/>
        <v>0</v>
      </c>
      <c r="AH30" s="254">
        <f t="shared" si="5"/>
        <v>6100</v>
      </c>
      <c r="AI30" s="64" t="s">
        <v>309</v>
      </c>
      <c r="AJ30" s="135"/>
      <c r="AK30" s="136" t="s">
        <v>105</v>
      </c>
      <c r="AL30" s="140" t="s">
        <v>565</v>
      </c>
      <c r="AM30" s="141"/>
      <c r="AN30" s="138"/>
      <c r="AO30" s="138"/>
      <c r="AP30" s="215"/>
      <c r="AQ30" s="139">
        <f aca="true" t="shared" si="17" ref="AQ30:AY30">SUM(AQ31:AQ32)</f>
        <v>0</v>
      </c>
      <c r="AR30" s="207">
        <f t="shared" si="17"/>
        <v>0</v>
      </c>
      <c r="AS30" s="207">
        <f t="shared" si="17"/>
        <v>0</v>
      </c>
      <c r="AT30" s="207">
        <f t="shared" si="17"/>
        <v>0</v>
      </c>
      <c r="AU30" s="207">
        <f t="shared" si="17"/>
        <v>0</v>
      </c>
      <c r="AV30" s="207">
        <f t="shared" si="17"/>
        <v>0</v>
      </c>
      <c r="AW30" s="207">
        <f t="shared" si="17"/>
        <v>0</v>
      </c>
      <c r="AX30" s="207">
        <f t="shared" si="17"/>
        <v>0</v>
      </c>
      <c r="AY30" s="207">
        <f t="shared" si="17"/>
        <v>0</v>
      </c>
      <c r="AZ30" s="64" t="s">
        <v>385</v>
      </c>
      <c r="BA30" s="135"/>
      <c r="BB30" s="136" t="s">
        <v>105</v>
      </c>
      <c r="BC30" s="140" t="s">
        <v>565</v>
      </c>
      <c r="BD30" s="141"/>
      <c r="BE30" s="138"/>
      <c r="BF30" s="138"/>
      <c r="BG30" s="215"/>
      <c r="BH30" s="234">
        <f>SUM(BH31:BH32)</f>
        <v>0</v>
      </c>
      <c r="BI30" s="234">
        <f>SUM(BI31:BI32)</f>
        <v>0</v>
      </c>
      <c r="BJ30" s="254">
        <f t="shared" si="7"/>
        <v>0</v>
      </c>
      <c r="BK30" s="207">
        <f t="shared" si="8"/>
        <v>6100</v>
      </c>
    </row>
    <row r="31" spans="1:63" s="96" customFormat="1" ht="15" customHeight="1" thickBot="1">
      <c r="A31" s="64" t="s">
        <v>49</v>
      </c>
      <c r="B31" s="94"/>
      <c r="C31" s="115"/>
      <c r="D31" s="95" t="s">
        <v>693</v>
      </c>
      <c r="E31" s="97" t="s">
        <v>691</v>
      </c>
      <c r="F31" s="116"/>
      <c r="G31" s="98"/>
      <c r="H31" s="98"/>
      <c r="I31" s="108">
        <f>'3. melléklet'!Z30+'2. melléklet'!BB30+'2. melléklet'!BC30++'2. melléklet'!DB30+'2. melléklet'!AM30</f>
        <v>0</v>
      </c>
      <c r="J31" s="206">
        <f>'2. melléklet'!J30+'2. melléklet'!AN30+'2. melléklet'!AO30+'2. melléklet'!AP30+'2. melléklet'!BE30+'2. melléklet'!BF30+'2. melléklet'!BG30+'3. melléklet'!O30+'3. melléklet'!P30+'3. melléklet'!Y30+'4. melléklet'!I30</f>
        <v>0</v>
      </c>
      <c r="K31" s="206"/>
      <c r="L31" s="206">
        <f>'2. melléklet'!AC30+'2. melléklet'!AQ30</f>
        <v>0</v>
      </c>
      <c r="M31" s="206">
        <f>SUM('4. melléklet'!J30:L30)</f>
        <v>0</v>
      </c>
      <c r="N31" s="206">
        <f>'4. melléklet'!N30</f>
        <v>0</v>
      </c>
      <c r="O31" s="206">
        <f>'4. melléklet'!M30+'2. melléklet'!BR30+'2. melléklet'!BS30+'2. melléklet'!CK30+'2. melléklet'!CW30</f>
        <v>0</v>
      </c>
      <c r="P31" s="206">
        <f>'2. melléklet'!K30+'3. melléklet'!J30</f>
        <v>0</v>
      </c>
      <c r="Q31" s="206"/>
      <c r="R31" s="64" t="s">
        <v>209</v>
      </c>
      <c r="S31" s="94"/>
      <c r="T31" s="115"/>
      <c r="U31" s="95" t="s">
        <v>693</v>
      </c>
      <c r="V31" s="97" t="s">
        <v>691</v>
      </c>
      <c r="W31" s="116"/>
      <c r="X31" s="98"/>
      <c r="Y31" s="217"/>
      <c r="Z31" s="206">
        <f>'2. melléklet'!BD30+'2. melléklet'!AR30</f>
        <v>0</v>
      </c>
      <c r="AA31" s="206">
        <f>SUM('2. melléklet'!Z30:AB30)</f>
        <v>0</v>
      </c>
      <c r="AB31" s="206">
        <f>'3. melléklet'!I30+'3. melléklet'!K30+'3. melléklet'!L30+'3. melléklet'!M30+'2. melléklet'!I30+'2. melléklet'!L30+'2. melléklet'!M30+'2. melléklet'!O30</f>
        <v>6100</v>
      </c>
      <c r="AC31" s="206">
        <f>SUM('2. melléklet'!BT30:BW30)</f>
        <v>0</v>
      </c>
      <c r="AD31" s="206"/>
      <c r="AE31" s="206"/>
      <c r="AF31" s="206"/>
      <c r="AG31" s="206"/>
      <c r="AH31" s="254">
        <f t="shared" si="5"/>
        <v>6100</v>
      </c>
      <c r="AI31" s="64" t="s">
        <v>310</v>
      </c>
      <c r="AJ31" s="94"/>
      <c r="AK31" s="115"/>
      <c r="AL31" s="95" t="s">
        <v>693</v>
      </c>
      <c r="AM31" s="97" t="s">
        <v>691</v>
      </c>
      <c r="AN31" s="116"/>
      <c r="AO31" s="98"/>
      <c r="AP31" s="217"/>
      <c r="AQ31" s="206"/>
      <c r="AR31" s="206">
        <f>'2. melléklet'!N30</f>
        <v>0</v>
      </c>
      <c r="AS31" s="206"/>
      <c r="AT31" s="206"/>
      <c r="AU31" s="206"/>
      <c r="AV31" s="206"/>
      <c r="AW31" s="206"/>
      <c r="AX31" s="206"/>
      <c r="AY31" s="206"/>
      <c r="AZ31" s="64" t="s">
        <v>386</v>
      </c>
      <c r="BA31" s="94"/>
      <c r="BB31" s="115"/>
      <c r="BC31" s="95" t="s">
        <v>693</v>
      </c>
      <c r="BD31" s="97" t="s">
        <v>691</v>
      </c>
      <c r="BE31" s="116"/>
      <c r="BF31" s="98"/>
      <c r="BG31" s="217"/>
      <c r="BH31" s="206"/>
      <c r="BI31" s="206"/>
      <c r="BJ31" s="254">
        <f t="shared" si="7"/>
        <v>0</v>
      </c>
      <c r="BK31" s="206">
        <f t="shared" si="8"/>
        <v>6100</v>
      </c>
    </row>
    <row r="32" spans="1:63" s="96" customFormat="1" ht="15" customHeight="1" thickBot="1">
      <c r="A32" s="64" t="s">
        <v>50</v>
      </c>
      <c r="B32" s="94"/>
      <c r="C32" s="115"/>
      <c r="D32" s="95" t="s">
        <v>694</v>
      </c>
      <c r="E32" s="97" t="s">
        <v>692</v>
      </c>
      <c r="F32" s="116"/>
      <c r="G32" s="98"/>
      <c r="H32" s="98"/>
      <c r="I32" s="108">
        <f>'3. melléklet'!Z31+'2. melléklet'!BB31+'2. melléklet'!BC31++'2. melléklet'!DB31+'2. melléklet'!AM31</f>
        <v>0</v>
      </c>
      <c r="J32" s="206">
        <f>'2. melléklet'!J31+'2. melléklet'!AN31+'2. melléklet'!AO31+'2. melléklet'!AP31+'2. melléklet'!BE31+'2. melléklet'!BF31+'2. melléklet'!BG31+'3. melléklet'!O31+'3. melléklet'!P31+'3. melléklet'!Y31+'4. melléklet'!I31</f>
        <v>0</v>
      </c>
      <c r="K32" s="206"/>
      <c r="L32" s="206">
        <f>'2. melléklet'!AC31+'2. melléklet'!AQ31</f>
        <v>0</v>
      </c>
      <c r="M32" s="206">
        <f>SUM('4. melléklet'!J31:L31)</f>
        <v>0</v>
      </c>
      <c r="N32" s="206">
        <f>'4. melléklet'!N31</f>
        <v>0</v>
      </c>
      <c r="O32" s="206">
        <f>'4. melléklet'!M31+'2. melléklet'!BR31+'2. melléklet'!BS31+'2. melléklet'!CK31+'2. melléklet'!CW31</f>
        <v>0</v>
      </c>
      <c r="P32" s="206">
        <f>'2. melléklet'!K31+'3. melléklet'!J31</f>
        <v>0</v>
      </c>
      <c r="Q32" s="206"/>
      <c r="R32" s="64" t="s">
        <v>210</v>
      </c>
      <c r="S32" s="94"/>
      <c r="T32" s="115"/>
      <c r="U32" s="95" t="s">
        <v>694</v>
      </c>
      <c r="V32" s="97" t="s">
        <v>692</v>
      </c>
      <c r="W32" s="116"/>
      <c r="X32" s="98"/>
      <c r="Y32" s="217"/>
      <c r="Z32" s="206">
        <f>'2. melléklet'!BD31+'2. melléklet'!AR31</f>
        <v>0</v>
      </c>
      <c r="AA32" s="206">
        <f>SUM('2. melléklet'!Z31:AB31)</f>
        <v>0</v>
      </c>
      <c r="AB32" s="206">
        <f>'3. melléklet'!I31+'3. melléklet'!K31+'3. melléklet'!L31+'3. melléklet'!M31+'2. melléklet'!I31+'2. melléklet'!L31+'2. melléklet'!M31+'2. melléklet'!O31</f>
        <v>0</v>
      </c>
      <c r="AC32" s="206">
        <f>SUM('2. melléklet'!BT31:BW31)</f>
        <v>0</v>
      </c>
      <c r="AD32" s="206"/>
      <c r="AE32" s="206"/>
      <c r="AF32" s="206"/>
      <c r="AG32" s="206"/>
      <c r="AH32" s="254">
        <f t="shared" si="5"/>
        <v>0</v>
      </c>
      <c r="AI32" s="64" t="s">
        <v>311</v>
      </c>
      <c r="AJ32" s="94"/>
      <c r="AK32" s="115"/>
      <c r="AL32" s="95" t="s">
        <v>694</v>
      </c>
      <c r="AM32" s="97" t="s">
        <v>692</v>
      </c>
      <c r="AN32" s="116"/>
      <c r="AO32" s="98"/>
      <c r="AP32" s="217"/>
      <c r="AQ32" s="206"/>
      <c r="AR32" s="206">
        <f>'2. melléklet'!N31</f>
        <v>0</v>
      </c>
      <c r="AS32" s="206"/>
      <c r="AT32" s="206"/>
      <c r="AU32" s="206"/>
      <c r="AV32" s="206"/>
      <c r="AW32" s="206"/>
      <c r="AX32" s="206"/>
      <c r="AY32" s="206"/>
      <c r="AZ32" s="64" t="s">
        <v>387</v>
      </c>
      <c r="BA32" s="94"/>
      <c r="BB32" s="115"/>
      <c r="BC32" s="95" t="s">
        <v>694</v>
      </c>
      <c r="BD32" s="97" t="s">
        <v>692</v>
      </c>
      <c r="BE32" s="116"/>
      <c r="BF32" s="98"/>
      <c r="BG32" s="217"/>
      <c r="BH32" s="206"/>
      <c r="BI32" s="206"/>
      <c r="BJ32" s="254">
        <f t="shared" si="7"/>
        <v>0</v>
      </c>
      <c r="BK32" s="206">
        <f t="shared" si="8"/>
        <v>0</v>
      </c>
    </row>
    <row r="33" spans="1:63" s="134" customFormat="1" ht="15" customHeight="1" thickBot="1">
      <c r="A33" s="64" t="s">
        <v>51</v>
      </c>
      <c r="B33" s="130" t="s">
        <v>107</v>
      </c>
      <c r="C33" s="131" t="s">
        <v>108</v>
      </c>
      <c r="D33" s="131"/>
      <c r="E33" s="131"/>
      <c r="F33" s="131"/>
      <c r="G33" s="131"/>
      <c r="H33" s="131"/>
      <c r="I33" s="133">
        <f>SUM(I34,I37,I40)</f>
        <v>369726</v>
      </c>
      <c r="J33" s="133">
        <f aca="true" t="shared" si="18" ref="J33:Q33">SUM(J34,J37,J40)</f>
        <v>3000</v>
      </c>
      <c r="K33" s="133">
        <f t="shared" si="18"/>
        <v>0</v>
      </c>
      <c r="L33" s="133">
        <f>SUM(L34,L37,L40)</f>
        <v>0</v>
      </c>
      <c r="M33" s="133">
        <f t="shared" si="18"/>
        <v>0</v>
      </c>
      <c r="N33" s="133">
        <f t="shared" si="18"/>
        <v>581</v>
      </c>
      <c r="O33" s="133">
        <f t="shared" si="18"/>
        <v>0</v>
      </c>
      <c r="P33" s="133">
        <f t="shared" si="18"/>
        <v>847973</v>
      </c>
      <c r="Q33" s="133">
        <f t="shared" si="18"/>
        <v>0</v>
      </c>
      <c r="R33" s="64" t="s">
        <v>211</v>
      </c>
      <c r="S33" s="130" t="s">
        <v>107</v>
      </c>
      <c r="T33" s="131" t="s">
        <v>108</v>
      </c>
      <c r="U33" s="131"/>
      <c r="V33" s="131"/>
      <c r="W33" s="131"/>
      <c r="X33" s="131"/>
      <c r="Y33" s="218"/>
      <c r="Z33" s="133">
        <f aca="true" t="shared" si="19" ref="Z33:AG33">SUM(Z34,Z37,Z40)</f>
        <v>0</v>
      </c>
      <c r="AA33" s="204">
        <f t="shared" si="19"/>
        <v>1585</v>
      </c>
      <c r="AB33" s="204">
        <f t="shared" si="19"/>
        <v>349278</v>
      </c>
      <c r="AC33" s="204">
        <f t="shared" si="19"/>
        <v>0</v>
      </c>
      <c r="AD33" s="204">
        <f>SUM(AD34,AD37,AD40)</f>
        <v>0</v>
      </c>
      <c r="AE33" s="204">
        <f>SUM(AE34,AE37,AE40)</f>
        <v>0</v>
      </c>
      <c r="AF33" s="204">
        <f>SUM(AF34,AF37,AF40)</f>
        <v>0</v>
      </c>
      <c r="AG33" s="204">
        <f t="shared" si="19"/>
        <v>0</v>
      </c>
      <c r="AH33" s="254">
        <f t="shared" si="5"/>
        <v>1572143</v>
      </c>
      <c r="AI33" s="64" t="s">
        <v>312</v>
      </c>
      <c r="AJ33" s="130" t="s">
        <v>107</v>
      </c>
      <c r="AK33" s="131" t="s">
        <v>108</v>
      </c>
      <c r="AL33" s="131"/>
      <c r="AM33" s="131"/>
      <c r="AN33" s="131"/>
      <c r="AO33" s="131"/>
      <c r="AP33" s="218"/>
      <c r="AQ33" s="133">
        <f aca="true" t="shared" si="20" ref="AQ33:AY33">SUM(AQ34,AQ37,AQ40)</f>
        <v>0</v>
      </c>
      <c r="AR33" s="204">
        <f t="shared" si="20"/>
        <v>0</v>
      </c>
      <c r="AS33" s="204">
        <f t="shared" si="20"/>
        <v>0</v>
      </c>
      <c r="AT33" s="204">
        <f t="shared" si="20"/>
        <v>0</v>
      </c>
      <c r="AU33" s="204">
        <f t="shared" si="20"/>
        <v>0</v>
      </c>
      <c r="AV33" s="204">
        <f t="shared" si="20"/>
        <v>0</v>
      </c>
      <c r="AW33" s="204">
        <f t="shared" si="20"/>
        <v>2300</v>
      </c>
      <c r="AX33" s="204">
        <f t="shared" si="20"/>
        <v>0</v>
      </c>
      <c r="AY33" s="204">
        <f t="shared" si="20"/>
        <v>0</v>
      </c>
      <c r="AZ33" s="64" t="s">
        <v>388</v>
      </c>
      <c r="BA33" s="130" t="s">
        <v>107</v>
      </c>
      <c r="BB33" s="131" t="s">
        <v>108</v>
      </c>
      <c r="BC33" s="131"/>
      <c r="BD33" s="131"/>
      <c r="BE33" s="131"/>
      <c r="BF33" s="131"/>
      <c r="BG33" s="218"/>
      <c r="BH33" s="232">
        <f>SUM(BH34,BH37,BH40)</f>
        <v>0</v>
      </c>
      <c r="BI33" s="232">
        <f>SUM(BI34,BI37,BI40)</f>
        <v>0</v>
      </c>
      <c r="BJ33" s="254">
        <f t="shared" si="7"/>
        <v>2300</v>
      </c>
      <c r="BK33" s="204">
        <f t="shared" si="8"/>
        <v>1574443</v>
      </c>
    </row>
    <row r="34" spans="1:63" s="134" customFormat="1" ht="15" customHeight="1" thickBot="1">
      <c r="A34" s="64" t="s">
        <v>53</v>
      </c>
      <c r="B34" s="135"/>
      <c r="C34" s="143" t="s">
        <v>109</v>
      </c>
      <c r="D34" s="145" t="s">
        <v>566</v>
      </c>
      <c r="E34" s="140"/>
      <c r="F34" s="141"/>
      <c r="G34" s="141"/>
      <c r="H34" s="141"/>
      <c r="I34" s="142">
        <f>SUM(I35:I36)</f>
        <v>369726</v>
      </c>
      <c r="J34" s="142">
        <f aca="true" t="shared" si="21" ref="J34:Q34">SUM(J35:J36)</f>
        <v>3000</v>
      </c>
      <c r="K34" s="142">
        <f t="shared" si="21"/>
        <v>0</v>
      </c>
      <c r="L34" s="142">
        <f>SUM(L35:L36)</f>
        <v>0</v>
      </c>
      <c r="M34" s="142">
        <f t="shared" si="21"/>
        <v>0</v>
      </c>
      <c r="N34" s="142">
        <f t="shared" si="21"/>
        <v>581</v>
      </c>
      <c r="O34" s="142">
        <f t="shared" si="21"/>
        <v>0</v>
      </c>
      <c r="P34" s="142">
        <f t="shared" si="21"/>
        <v>838194</v>
      </c>
      <c r="Q34" s="142">
        <f t="shared" si="21"/>
        <v>0</v>
      </c>
      <c r="R34" s="64" t="s">
        <v>212</v>
      </c>
      <c r="S34" s="135"/>
      <c r="T34" s="143" t="s">
        <v>109</v>
      </c>
      <c r="U34" s="145" t="s">
        <v>566</v>
      </c>
      <c r="V34" s="140"/>
      <c r="W34" s="141"/>
      <c r="X34" s="141"/>
      <c r="Y34" s="213"/>
      <c r="Z34" s="142">
        <f aca="true" t="shared" si="22" ref="Z34:AG34">SUM(Z35:Z36)</f>
        <v>0</v>
      </c>
      <c r="AA34" s="205">
        <f t="shared" si="22"/>
        <v>1585</v>
      </c>
      <c r="AB34" s="205">
        <f t="shared" si="22"/>
        <v>349278</v>
      </c>
      <c r="AC34" s="205">
        <f t="shared" si="22"/>
        <v>0</v>
      </c>
      <c r="AD34" s="205">
        <f>SUM(AD35:AD36)</f>
        <v>0</v>
      </c>
      <c r="AE34" s="205">
        <f>SUM(AE35:AE36)</f>
        <v>0</v>
      </c>
      <c r="AF34" s="205">
        <f>SUM(AF35:AF36)</f>
        <v>0</v>
      </c>
      <c r="AG34" s="205">
        <f t="shared" si="22"/>
        <v>0</v>
      </c>
      <c r="AH34" s="254">
        <f t="shared" si="5"/>
        <v>1562364</v>
      </c>
      <c r="AI34" s="64" t="s">
        <v>313</v>
      </c>
      <c r="AJ34" s="135"/>
      <c r="AK34" s="143" t="s">
        <v>109</v>
      </c>
      <c r="AL34" s="145" t="s">
        <v>566</v>
      </c>
      <c r="AM34" s="140"/>
      <c r="AN34" s="141"/>
      <c r="AO34" s="141"/>
      <c r="AP34" s="213"/>
      <c r="AQ34" s="142">
        <f aca="true" t="shared" si="23" ref="AQ34:AY34">SUM(AQ35:AQ36)</f>
        <v>0</v>
      </c>
      <c r="AR34" s="205">
        <f t="shared" si="23"/>
        <v>0</v>
      </c>
      <c r="AS34" s="205">
        <f t="shared" si="23"/>
        <v>0</v>
      </c>
      <c r="AT34" s="205">
        <f t="shared" si="23"/>
        <v>0</v>
      </c>
      <c r="AU34" s="205">
        <f t="shared" si="23"/>
        <v>0</v>
      </c>
      <c r="AV34" s="205">
        <f t="shared" si="23"/>
        <v>0</v>
      </c>
      <c r="AW34" s="205">
        <f t="shared" si="23"/>
        <v>0</v>
      </c>
      <c r="AX34" s="205">
        <f t="shared" si="23"/>
        <v>0</v>
      </c>
      <c r="AY34" s="205">
        <f t="shared" si="23"/>
        <v>0</v>
      </c>
      <c r="AZ34" s="64" t="s">
        <v>389</v>
      </c>
      <c r="BA34" s="135"/>
      <c r="BB34" s="143" t="s">
        <v>109</v>
      </c>
      <c r="BC34" s="145" t="s">
        <v>566</v>
      </c>
      <c r="BD34" s="140"/>
      <c r="BE34" s="141"/>
      <c r="BF34" s="141"/>
      <c r="BG34" s="213"/>
      <c r="BH34" s="233">
        <f>SUM(BH35:BH36)</f>
        <v>0</v>
      </c>
      <c r="BI34" s="233">
        <f>SUM(BI35:BI36)</f>
        <v>0</v>
      </c>
      <c r="BJ34" s="254">
        <f t="shared" si="7"/>
        <v>0</v>
      </c>
      <c r="BK34" s="205">
        <f t="shared" si="8"/>
        <v>1562364</v>
      </c>
    </row>
    <row r="35" spans="1:63" s="110" customFormat="1" ht="15" customHeight="1" thickBot="1">
      <c r="A35" s="64" t="s">
        <v>54</v>
      </c>
      <c r="B35" s="109"/>
      <c r="C35" s="112"/>
      <c r="D35" s="95" t="s">
        <v>656</v>
      </c>
      <c r="E35" s="107" t="s">
        <v>657</v>
      </c>
      <c r="F35" s="107"/>
      <c r="G35" s="107"/>
      <c r="H35" s="107"/>
      <c r="I35" s="108">
        <f>'3. melléklet'!Z34+'2. melléklet'!BB34+'2. melléklet'!BC34++'2. melléklet'!DB34+'2. melléklet'!AM34</f>
        <v>0</v>
      </c>
      <c r="J35" s="206">
        <f>'2. melléklet'!J34+'2. melléklet'!AN34+'2. melléklet'!AO34+'2. melléklet'!AP34+'2. melléklet'!BE34+'2. melléklet'!BF34+'2. melléklet'!BG34+'3. melléklet'!O34+'3. melléklet'!P34+'3. melléklet'!Y34+'4. melléklet'!I34</f>
        <v>0</v>
      </c>
      <c r="K35" s="206"/>
      <c r="L35" s="206">
        <f>'2. melléklet'!AC34+'2. melléklet'!AQ34</f>
        <v>0</v>
      </c>
      <c r="M35" s="206">
        <f>SUM('4. melléklet'!J34:L34)</f>
        <v>0</v>
      </c>
      <c r="N35" s="206">
        <f>'4. melléklet'!N34</f>
        <v>0</v>
      </c>
      <c r="O35" s="206">
        <f>'4. melléklet'!M34+'2. melléklet'!BR34+'2. melléklet'!BS34+'2. melléklet'!CK34+'2. melléklet'!CW34</f>
        <v>0</v>
      </c>
      <c r="P35" s="206">
        <f>'2. melléklet'!K34+'3. melléklet'!J34</f>
        <v>0</v>
      </c>
      <c r="Q35" s="206"/>
      <c r="R35" s="64" t="s">
        <v>213</v>
      </c>
      <c r="S35" s="109"/>
      <c r="T35" s="112"/>
      <c r="U35" s="95" t="s">
        <v>656</v>
      </c>
      <c r="V35" s="107" t="s">
        <v>657</v>
      </c>
      <c r="W35" s="107"/>
      <c r="X35" s="107"/>
      <c r="Y35" s="214"/>
      <c r="Z35" s="206">
        <f>'2. melléklet'!BD34+'2. melléklet'!AR34</f>
        <v>0</v>
      </c>
      <c r="AA35" s="206">
        <f>SUM('2. melléklet'!Z34:AB34)</f>
        <v>0</v>
      </c>
      <c r="AB35" s="206">
        <f>'3. melléklet'!I34+'3. melléklet'!K34+'3. melléklet'!L34+'3. melléklet'!M34+'2. melléklet'!I34+'2. melléklet'!L34+'2. melléklet'!M34+'2. melléklet'!O34</f>
        <v>349278</v>
      </c>
      <c r="AC35" s="206">
        <f>SUM('2. melléklet'!BT34:BW34)</f>
        <v>0</v>
      </c>
      <c r="AD35" s="206"/>
      <c r="AE35" s="206"/>
      <c r="AF35" s="206"/>
      <c r="AG35" s="206"/>
      <c r="AH35" s="254">
        <f t="shared" si="5"/>
        <v>349278</v>
      </c>
      <c r="AI35" s="64" t="s">
        <v>314</v>
      </c>
      <c r="AJ35" s="109"/>
      <c r="AK35" s="112"/>
      <c r="AL35" s="95" t="s">
        <v>656</v>
      </c>
      <c r="AM35" s="107" t="s">
        <v>657</v>
      </c>
      <c r="AN35" s="107"/>
      <c r="AO35" s="107"/>
      <c r="AP35" s="214"/>
      <c r="AQ35" s="206"/>
      <c r="AR35" s="206">
        <f>'2. melléklet'!N34</f>
        <v>0</v>
      </c>
      <c r="AS35" s="206"/>
      <c r="AT35" s="206"/>
      <c r="AU35" s="206"/>
      <c r="AV35" s="206"/>
      <c r="AW35" s="206"/>
      <c r="AX35" s="206"/>
      <c r="AY35" s="206"/>
      <c r="AZ35" s="64" t="s">
        <v>390</v>
      </c>
      <c r="BA35" s="109"/>
      <c r="BB35" s="112"/>
      <c r="BC35" s="95" t="s">
        <v>656</v>
      </c>
      <c r="BD35" s="107" t="s">
        <v>657</v>
      </c>
      <c r="BE35" s="107"/>
      <c r="BF35" s="107"/>
      <c r="BG35" s="214"/>
      <c r="BH35" s="206"/>
      <c r="BI35" s="206"/>
      <c r="BJ35" s="254">
        <f t="shared" si="7"/>
        <v>0</v>
      </c>
      <c r="BK35" s="206">
        <f t="shared" si="8"/>
        <v>349278</v>
      </c>
    </row>
    <row r="36" spans="1:63" s="110" customFormat="1" ht="15" customHeight="1" thickBot="1">
      <c r="A36" s="64" t="s">
        <v>55</v>
      </c>
      <c r="B36" s="109"/>
      <c r="C36" s="95"/>
      <c r="D36" s="95" t="s">
        <v>658</v>
      </c>
      <c r="E36" s="107" t="s">
        <v>659</v>
      </c>
      <c r="F36" s="114"/>
      <c r="G36" s="114"/>
      <c r="H36" s="107"/>
      <c r="I36" s="108">
        <f>'3. melléklet'!Z35+'2. melléklet'!BB35+'2. melléklet'!BC35++'2. melléklet'!DB35+'2. melléklet'!AM35</f>
        <v>369726</v>
      </c>
      <c r="J36" s="206">
        <f>'2. melléklet'!J35+'2. melléklet'!AN35+'2. melléklet'!AO35+'2. melléklet'!AP35+'2. melléklet'!BE35+'2. melléklet'!BF35+'2. melléklet'!BG35+'3. melléklet'!O35+'3. melléklet'!P35+'3. melléklet'!Y35+'4. melléklet'!I35</f>
        <v>3000</v>
      </c>
      <c r="K36" s="206"/>
      <c r="L36" s="206">
        <f>'2. melléklet'!AC35+'2. melléklet'!AQ35</f>
        <v>0</v>
      </c>
      <c r="M36" s="206">
        <f>SUM('4. melléklet'!J35:L35)</f>
        <v>0</v>
      </c>
      <c r="N36" s="206">
        <f>'4. melléklet'!N35</f>
        <v>581</v>
      </c>
      <c r="O36" s="206">
        <f>'4. melléklet'!M35+'2. melléklet'!BR35+'2. melléklet'!BS35+'2. melléklet'!CK35+'2. melléklet'!CW35</f>
        <v>0</v>
      </c>
      <c r="P36" s="206">
        <f>'2. melléklet'!K35+'3. melléklet'!J35</f>
        <v>838194</v>
      </c>
      <c r="Q36" s="206"/>
      <c r="R36" s="64" t="s">
        <v>214</v>
      </c>
      <c r="S36" s="109"/>
      <c r="T36" s="95"/>
      <c r="U36" s="95" t="s">
        <v>658</v>
      </c>
      <c r="V36" s="107" t="s">
        <v>659</v>
      </c>
      <c r="W36" s="114"/>
      <c r="X36" s="114"/>
      <c r="Y36" s="214"/>
      <c r="Z36" s="206">
        <f>'2. melléklet'!BD35+'2. melléklet'!AR35</f>
        <v>0</v>
      </c>
      <c r="AA36" s="206">
        <f>SUM('2. melléklet'!Z35:AB35)</f>
        <v>1585</v>
      </c>
      <c r="AB36" s="206">
        <f>'3. melléklet'!I35+'3. melléklet'!K35+'3. melléklet'!L35+'3. melléklet'!M35+'2. melléklet'!I35+'2. melléklet'!L35+'2. melléklet'!M35+'2. melléklet'!O35</f>
        <v>0</v>
      </c>
      <c r="AC36" s="206">
        <f>SUM('2. melléklet'!BT35:BW35)</f>
        <v>0</v>
      </c>
      <c r="AD36" s="206"/>
      <c r="AE36" s="206"/>
      <c r="AF36" s="206"/>
      <c r="AG36" s="206"/>
      <c r="AH36" s="254">
        <f t="shared" si="5"/>
        <v>1213086</v>
      </c>
      <c r="AI36" s="64" t="s">
        <v>315</v>
      </c>
      <c r="AJ36" s="109"/>
      <c r="AK36" s="95"/>
      <c r="AL36" s="95" t="s">
        <v>658</v>
      </c>
      <c r="AM36" s="107" t="s">
        <v>659</v>
      </c>
      <c r="AN36" s="114"/>
      <c r="AO36" s="114"/>
      <c r="AP36" s="214"/>
      <c r="AQ36" s="206"/>
      <c r="AR36" s="206">
        <f>'2. melléklet'!N35</f>
        <v>0</v>
      </c>
      <c r="AS36" s="206"/>
      <c r="AT36" s="206"/>
      <c r="AU36" s="206"/>
      <c r="AV36" s="206"/>
      <c r="AW36" s="206"/>
      <c r="AX36" s="206"/>
      <c r="AY36" s="206"/>
      <c r="AZ36" s="64" t="s">
        <v>391</v>
      </c>
      <c r="BA36" s="109"/>
      <c r="BB36" s="95"/>
      <c r="BC36" s="95" t="s">
        <v>658</v>
      </c>
      <c r="BD36" s="107" t="s">
        <v>659</v>
      </c>
      <c r="BE36" s="114"/>
      <c r="BF36" s="114"/>
      <c r="BG36" s="214"/>
      <c r="BH36" s="206"/>
      <c r="BI36" s="206"/>
      <c r="BJ36" s="254">
        <f t="shared" si="7"/>
        <v>0</v>
      </c>
      <c r="BK36" s="206">
        <f t="shared" si="8"/>
        <v>1213086</v>
      </c>
    </row>
    <row r="37" spans="1:63" s="134" customFormat="1" ht="15" customHeight="1" thickBot="1">
      <c r="A37" s="64" t="s">
        <v>56</v>
      </c>
      <c r="B37" s="135"/>
      <c r="C37" s="143" t="s">
        <v>110</v>
      </c>
      <c r="D37" s="144" t="s">
        <v>108</v>
      </c>
      <c r="E37" s="137"/>
      <c r="F37" s="138"/>
      <c r="G37" s="138"/>
      <c r="H37" s="138"/>
      <c r="I37" s="139">
        <f>SUM(I38:I39)</f>
        <v>0</v>
      </c>
      <c r="J37" s="139">
        <f aca="true" t="shared" si="24" ref="J37:Q37">SUM(J38:J39)</f>
        <v>0</v>
      </c>
      <c r="K37" s="139">
        <f t="shared" si="24"/>
        <v>0</v>
      </c>
      <c r="L37" s="139">
        <f>SUM(L38:L39)</f>
        <v>0</v>
      </c>
      <c r="M37" s="139">
        <f t="shared" si="24"/>
        <v>0</v>
      </c>
      <c r="N37" s="139">
        <f t="shared" si="24"/>
        <v>0</v>
      </c>
      <c r="O37" s="139">
        <f t="shared" si="24"/>
        <v>0</v>
      </c>
      <c r="P37" s="139">
        <f t="shared" si="24"/>
        <v>9779</v>
      </c>
      <c r="Q37" s="139">
        <f t="shared" si="24"/>
        <v>0</v>
      </c>
      <c r="R37" s="64" t="s">
        <v>215</v>
      </c>
      <c r="S37" s="135"/>
      <c r="T37" s="143" t="s">
        <v>110</v>
      </c>
      <c r="U37" s="144" t="s">
        <v>108</v>
      </c>
      <c r="V37" s="137"/>
      <c r="W37" s="138"/>
      <c r="X37" s="138"/>
      <c r="Y37" s="215"/>
      <c r="Z37" s="139">
        <f aca="true" t="shared" si="25" ref="Z37:AG37">SUM(Z38:Z39)</f>
        <v>0</v>
      </c>
      <c r="AA37" s="207">
        <f t="shared" si="25"/>
        <v>0</v>
      </c>
      <c r="AB37" s="207">
        <f t="shared" si="25"/>
        <v>0</v>
      </c>
      <c r="AC37" s="207">
        <f t="shared" si="25"/>
        <v>0</v>
      </c>
      <c r="AD37" s="207">
        <f>SUM(AD38:AD39)</f>
        <v>0</v>
      </c>
      <c r="AE37" s="207">
        <f>SUM(AE38:AE39)</f>
        <v>0</v>
      </c>
      <c r="AF37" s="207">
        <f>SUM(AF38:AF39)</f>
        <v>0</v>
      </c>
      <c r="AG37" s="207">
        <f t="shared" si="25"/>
        <v>0</v>
      </c>
      <c r="AH37" s="254">
        <f t="shared" si="5"/>
        <v>9779</v>
      </c>
      <c r="AI37" s="64" t="s">
        <v>316</v>
      </c>
      <c r="AJ37" s="135"/>
      <c r="AK37" s="143" t="s">
        <v>110</v>
      </c>
      <c r="AL37" s="144" t="s">
        <v>108</v>
      </c>
      <c r="AM37" s="137"/>
      <c r="AN37" s="138"/>
      <c r="AO37" s="138"/>
      <c r="AP37" s="215"/>
      <c r="AQ37" s="139">
        <f aca="true" t="shared" si="26" ref="AQ37:AY37">SUM(AQ38:AQ39)</f>
        <v>0</v>
      </c>
      <c r="AR37" s="207">
        <f t="shared" si="26"/>
        <v>0</v>
      </c>
      <c r="AS37" s="207">
        <f t="shared" si="26"/>
        <v>0</v>
      </c>
      <c r="AT37" s="207">
        <f t="shared" si="26"/>
        <v>0</v>
      </c>
      <c r="AU37" s="207">
        <f t="shared" si="26"/>
        <v>0</v>
      </c>
      <c r="AV37" s="207">
        <f t="shared" si="26"/>
        <v>0</v>
      </c>
      <c r="AW37" s="207">
        <f t="shared" si="26"/>
        <v>0</v>
      </c>
      <c r="AX37" s="207">
        <f t="shared" si="26"/>
        <v>0</v>
      </c>
      <c r="AY37" s="207">
        <f t="shared" si="26"/>
        <v>0</v>
      </c>
      <c r="AZ37" s="64" t="s">
        <v>392</v>
      </c>
      <c r="BA37" s="135"/>
      <c r="BB37" s="143" t="s">
        <v>110</v>
      </c>
      <c r="BC37" s="144" t="s">
        <v>108</v>
      </c>
      <c r="BD37" s="137"/>
      <c r="BE37" s="138"/>
      <c r="BF37" s="138"/>
      <c r="BG37" s="215"/>
      <c r="BH37" s="234">
        <f>SUM(BH38:BH39)</f>
        <v>0</v>
      </c>
      <c r="BI37" s="234">
        <f>SUM(BI38:BI39)</f>
        <v>0</v>
      </c>
      <c r="BJ37" s="254">
        <f t="shared" si="7"/>
        <v>0</v>
      </c>
      <c r="BK37" s="207">
        <f t="shared" si="8"/>
        <v>9779</v>
      </c>
    </row>
    <row r="38" spans="1:63" s="110" customFormat="1" ht="15" customHeight="1" thickBot="1">
      <c r="A38" s="64" t="s">
        <v>57</v>
      </c>
      <c r="B38" s="109"/>
      <c r="C38" s="112"/>
      <c r="D38" s="95" t="s">
        <v>695</v>
      </c>
      <c r="E38" s="107" t="s">
        <v>689</v>
      </c>
      <c r="F38" s="107"/>
      <c r="G38" s="107"/>
      <c r="H38" s="107"/>
      <c r="I38" s="108">
        <f>'3. melléklet'!Z37+'2. melléklet'!BB37+'2. melléklet'!BC37++'2. melléklet'!DB37+'2. melléklet'!AM37</f>
        <v>0</v>
      </c>
      <c r="J38" s="206">
        <f>'2. melléklet'!J37+'2. melléklet'!AN37+'2. melléklet'!AO37+'2. melléklet'!AP37+'2. melléklet'!BE37+'2. melléklet'!BF37+'2. melléklet'!BG37+'3. melléklet'!O37+'3. melléklet'!P37+'3. melléklet'!Y37+'4. melléklet'!I37</f>
        <v>0</v>
      </c>
      <c r="K38" s="206"/>
      <c r="L38" s="206">
        <f>'2. melléklet'!AC37+'2. melléklet'!AQ37</f>
        <v>0</v>
      </c>
      <c r="M38" s="206">
        <f>SUM('4. melléklet'!J37:L37)</f>
        <v>0</v>
      </c>
      <c r="N38" s="206">
        <f>'4. melléklet'!N37</f>
        <v>0</v>
      </c>
      <c r="O38" s="206">
        <f>'4. melléklet'!M37+'2. melléklet'!BR37+'2. melléklet'!BS37+'2. melléklet'!CK37+'2. melléklet'!CW37</f>
        <v>0</v>
      </c>
      <c r="P38" s="206">
        <f>'2. melléklet'!K37+'3. melléklet'!J37</f>
        <v>9779</v>
      </c>
      <c r="Q38" s="206"/>
      <c r="R38" s="64" t="s">
        <v>242</v>
      </c>
      <c r="S38" s="109"/>
      <c r="T38" s="112"/>
      <c r="U38" s="95" t="s">
        <v>695</v>
      </c>
      <c r="V38" s="107" t="s">
        <v>689</v>
      </c>
      <c r="W38" s="107"/>
      <c r="X38" s="107"/>
      <c r="Y38" s="214"/>
      <c r="Z38" s="206">
        <f>'2. melléklet'!BD37+'2. melléklet'!AR37</f>
        <v>0</v>
      </c>
      <c r="AA38" s="206">
        <f>SUM('2. melléklet'!Z37:AB37)</f>
        <v>0</v>
      </c>
      <c r="AB38" s="206">
        <f>'3. melléklet'!I37+'3. melléklet'!K37+'3. melléklet'!L37+'3. melléklet'!M37+'2. melléklet'!I37+'2. melléklet'!L37+'2. melléklet'!M37+'2. melléklet'!O37</f>
        <v>0</v>
      </c>
      <c r="AC38" s="206">
        <f>SUM('2. melléklet'!BT37:BW37)</f>
        <v>0</v>
      </c>
      <c r="AD38" s="206"/>
      <c r="AE38" s="206"/>
      <c r="AF38" s="206"/>
      <c r="AG38" s="206"/>
      <c r="AH38" s="254">
        <f t="shared" si="5"/>
        <v>9779</v>
      </c>
      <c r="AI38" s="64" t="s">
        <v>317</v>
      </c>
      <c r="AJ38" s="109"/>
      <c r="AK38" s="112"/>
      <c r="AL38" s="95" t="s">
        <v>695</v>
      </c>
      <c r="AM38" s="107" t="s">
        <v>689</v>
      </c>
      <c r="AN38" s="107"/>
      <c r="AO38" s="107"/>
      <c r="AP38" s="214"/>
      <c r="AQ38" s="206"/>
      <c r="AR38" s="206">
        <f>'2. melléklet'!N37</f>
        <v>0</v>
      </c>
      <c r="AS38" s="206"/>
      <c r="AT38" s="206"/>
      <c r="AU38" s="206"/>
      <c r="AV38" s="206"/>
      <c r="AW38" s="206"/>
      <c r="AX38" s="206"/>
      <c r="AY38" s="206"/>
      <c r="AZ38" s="64" t="s">
        <v>393</v>
      </c>
      <c r="BA38" s="109"/>
      <c r="BB38" s="112"/>
      <c r="BC38" s="95" t="s">
        <v>695</v>
      </c>
      <c r="BD38" s="107" t="s">
        <v>689</v>
      </c>
      <c r="BE38" s="107"/>
      <c r="BF38" s="107"/>
      <c r="BG38" s="214"/>
      <c r="BH38" s="206"/>
      <c r="BI38" s="206"/>
      <c r="BJ38" s="254">
        <f t="shared" si="7"/>
        <v>0</v>
      </c>
      <c r="BK38" s="206">
        <f t="shared" si="8"/>
        <v>9779</v>
      </c>
    </row>
    <row r="39" spans="1:63" s="110" customFormat="1" ht="15" customHeight="1" thickBot="1">
      <c r="A39" s="64" t="s">
        <v>58</v>
      </c>
      <c r="B39" s="109"/>
      <c r="C39" s="112"/>
      <c r="D39" s="95" t="s">
        <v>696</v>
      </c>
      <c r="E39" s="107" t="s">
        <v>690</v>
      </c>
      <c r="F39" s="97"/>
      <c r="G39" s="97"/>
      <c r="H39" s="97"/>
      <c r="I39" s="108">
        <f>'3. melléklet'!Z38+'2. melléklet'!BB38+'2. melléklet'!BC38++'2. melléklet'!DB38+'2. melléklet'!AM38</f>
        <v>0</v>
      </c>
      <c r="J39" s="206">
        <f>'2. melléklet'!J38+'2. melléklet'!AN38+'2. melléklet'!AO38+'2. melléklet'!AP38+'2. melléklet'!BE38+'2. melléklet'!BF38+'2. melléklet'!BG38+'3. melléklet'!O38+'3. melléklet'!P38+'3. melléklet'!Y38+'4. melléklet'!I38</f>
        <v>0</v>
      </c>
      <c r="K39" s="206"/>
      <c r="L39" s="206">
        <f>'2. melléklet'!AC38+'2. melléklet'!AQ38</f>
        <v>0</v>
      </c>
      <c r="M39" s="206">
        <f>SUM('4. melléklet'!J38:L38)</f>
        <v>0</v>
      </c>
      <c r="N39" s="206">
        <f>'4. melléklet'!N38</f>
        <v>0</v>
      </c>
      <c r="O39" s="206">
        <f>'4. melléklet'!M38+'2. melléklet'!BR38+'2. melléklet'!BS38+'2. melléklet'!CK38+'2. melléklet'!CW38</f>
        <v>0</v>
      </c>
      <c r="P39" s="206">
        <f>'2. melléklet'!K38+'3. melléklet'!J38</f>
        <v>0</v>
      </c>
      <c r="Q39" s="206"/>
      <c r="R39" s="64" t="s">
        <v>243</v>
      </c>
      <c r="S39" s="109"/>
      <c r="T39" s="112"/>
      <c r="U39" s="95" t="s">
        <v>696</v>
      </c>
      <c r="V39" s="107" t="s">
        <v>690</v>
      </c>
      <c r="W39" s="97"/>
      <c r="X39" s="97"/>
      <c r="Y39" s="117"/>
      <c r="Z39" s="206">
        <f>'2. melléklet'!BD38+'2. melléklet'!AR38</f>
        <v>0</v>
      </c>
      <c r="AA39" s="206">
        <f>SUM('2. melléklet'!Z38:AB38)</f>
        <v>0</v>
      </c>
      <c r="AB39" s="206">
        <f>'3. melléklet'!I38+'3. melléklet'!K38+'3. melléklet'!L38+'3. melléklet'!M38+'2. melléklet'!I38+'2. melléklet'!L38+'2. melléklet'!M38+'2. melléklet'!O38</f>
        <v>0</v>
      </c>
      <c r="AC39" s="206">
        <f>SUM('2. melléklet'!BT38:BW38)</f>
        <v>0</v>
      </c>
      <c r="AD39" s="206"/>
      <c r="AE39" s="206"/>
      <c r="AF39" s="206"/>
      <c r="AG39" s="206"/>
      <c r="AH39" s="254">
        <f t="shared" si="5"/>
        <v>0</v>
      </c>
      <c r="AI39" s="64" t="s">
        <v>318</v>
      </c>
      <c r="AJ39" s="109"/>
      <c r="AK39" s="112"/>
      <c r="AL39" s="95" t="s">
        <v>696</v>
      </c>
      <c r="AM39" s="107" t="s">
        <v>690</v>
      </c>
      <c r="AN39" s="97"/>
      <c r="AO39" s="97"/>
      <c r="AP39" s="117"/>
      <c r="AQ39" s="206"/>
      <c r="AR39" s="206">
        <f>'2. melléklet'!N38</f>
        <v>0</v>
      </c>
      <c r="AS39" s="206"/>
      <c r="AT39" s="206"/>
      <c r="AU39" s="206"/>
      <c r="AV39" s="206"/>
      <c r="AW39" s="206"/>
      <c r="AX39" s="206"/>
      <c r="AY39" s="206"/>
      <c r="AZ39" s="64" t="s">
        <v>394</v>
      </c>
      <c r="BA39" s="109"/>
      <c r="BB39" s="112"/>
      <c r="BC39" s="95" t="s">
        <v>696</v>
      </c>
      <c r="BD39" s="107" t="s">
        <v>690</v>
      </c>
      <c r="BE39" s="97"/>
      <c r="BF39" s="97"/>
      <c r="BG39" s="117"/>
      <c r="BH39" s="206"/>
      <c r="BI39" s="206"/>
      <c r="BJ39" s="254">
        <f t="shared" si="7"/>
        <v>0</v>
      </c>
      <c r="BK39" s="206">
        <f t="shared" si="8"/>
        <v>0</v>
      </c>
    </row>
    <row r="40" spans="1:63" s="134" customFormat="1" ht="15" customHeight="1" thickBot="1">
      <c r="A40" s="64" t="s">
        <v>59</v>
      </c>
      <c r="B40" s="135"/>
      <c r="C40" s="143" t="s">
        <v>111</v>
      </c>
      <c r="D40" s="140" t="s">
        <v>567</v>
      </c>
      <c r="E40" s="146"/>
      <c r="F40" s="141"/>
      <c r="G40" s="141"/>
      <c r="H40" s="141"/>
      <c r="I40" s="142">
        <f>SUM(I41)</f>
        <v>0</v>
      </c>
      <c r="J40" s="142">
        <f>SUM(J41)</f>
        <v>0</v>
      </c>
      <c r="K40" s="142">
        <f aca="true" t="shared" si="27" ref="K40:Q40">SUM(K41)</f>
        <v>0</v>
      </c>
      <c r="L40" s="142">
        <f t="shared" si="27"/>
        <v>0</v>
      </c>
      <c r="M40" s="142">
        <f t="shared" si="27"/>
        <v>0</v>
      </c>
      <c r="N40" s="142">
        <f t="shared" si="27"/>
        <v>0</v>
      </c>
      <c r="O40" s="142">
        <f t="shared" si="27"/>
        <v>0</v>
      </c>
      <c r="P40" s="142">
        <f t="shared" si="27"/>
        <v>0</v>
      </c>
      <c r="Q40" s="142">
        <f t="shared" si="27"/>
        <v>0</v>
      </c>
      <c r="R40" s="64" t="s">
        <v>244</v>
      </c>
      <c r="S40" s="135"/>
      <c r="T40" s="143" t="s">
        <v>111</v>
      </c>
      <c r="U40" s="140" t="s">
        <v>567</v>
      </c>
      <c r="V40" s="146"/>
      <c r="W40" s="141"/>
      <c r="X40" s="141"/>
      <c r="Y40" s="213"/>
      <c r="Z40" s="142">
        <f aca="true" t="shared" si="28" ref="Z40:AG40">SUM(Z41)</f>
        <v>0</v>
      </c>
      <c r="AA40" s="205">
        <f t="shared" si="28"/>
        <v>0</v>
      </c>
      <c r="AB40" s="205">
        <f t="shared" si="28"/>
        <v>0</v>
      </c>
      <c r="AC40" s="205">
        <f t="shared" si="28"/>
        <v>0</v>
      </c>
      <c r="AD40" s="205">
        <f t="shared" si="28"/>
        <v>0</v>
      </c>
      <c r="AE40" s="205">
        <f t="shared" si="28"/>
        <v>0</v>
      </c>
      <c r="AF40" s="205">
        <f t="shared" si="28"/>
        <v>0</v>
      </c>
      <c r="AG40" s="205">
        <f t="shared" si="28"/>
        <v>0</v>
      </c>
      <c r="AH40" s="254">
        <f t="shared" si="5"/>
        <v>0</v>
      </c>
      <c r="AI40" s="64" t="s">
        <v>319</v>
      </c>
      <c r="AJ40" s="135"/>
      <c r="AK40" s="143" t="s">
        <v>111</v>
      </c>
      <c r="AL40" s="140" t="s">
        <v>567</v>
      </c>
      <c r="AM40" s="146"/>
      <c r="AN40" s="141"/>
      <c r="AO40" s="141"/>
      <c r="AP40" s="213"/>
      <c r="AQ40" s="142">
        <f aca="true" t="shared" si="29" ref="AQ40:AY40">SUM(AQ41)</f>
        <v>0</v>
      </c>
      <c r="AR40" s="205">
        <f t="shared" si="29"/>
        <v>0</v>
      </c>
      <c r="AS40" s="205">
        <f t="shared" si="29"/>
        <v>0</v>
      </c>
      <c r="AT40" s="205">
        <f t="shared" si="29"/>
        <v>0</v>
      </c>
      <c r="AU40" s="205">
        <f t="shared" si="29"/>
        <v>0</v>
      </c>
      <c r="AV40" s="205">
        <f t="shared" si="29"/>
        <v>0</v>
      </c>
      <c r="AW40" s="205">
        <f t="shared" si="29"/>
        <v>2300</v>
      </c>
      <c r="AX40" s="205">
        <f t="shared" si="29"/>
        <v>0</v>
      </c>
      <c r="AY40" s="205">
        <f t="shared" si="29"/>
        <v>0</v>
      </c>
      <c r="AZ40" s="64" t="s">
        <v>395</v>
      </c>
      <c r="BA40" s="135"/>
      <c r="BB40" s="143" t="s">
        <v>111</v>
      </c>
      <c r="BC40" s="140" t="s">
        <v>567</v>
      </c>
      <c r="BD40" s="146"/>
      <c r="BE40" s="141"/>
      <c r="BF40" s="141"/>
      <c r="BG40" s="213"/>
      <c r="BH40" s="233">
        <f>SUM(BH41)</f>
        <v>0</v>
      </c>
      <c r="BI40" s="233">
        <f>SUM(BI41)</f>
        <v>0</v>
      </c>
      <c r="BJ40" s="254">
        <f t="shared" si="7"/>
        <v>2300</v>
      </c>
      <c r="BK40" s="205">
        <f t="shared" si="8"/>
        <v>2300</v>
      </c>
    </row>
    <row r="41" spans="1:63" s="110" customFormat="1" ht="15" customHeight="1" thickBot="1">
      <c r="A41" s="64" t="s">
        <v>60</v>
      </c>
      <c r="B41" s="109"/>
      <c r="C41" s="112"/>
      <c r="D41" s="95" t="s">
        <v>697</v>
      </c>
      <c r="E41" s="97" t="s">
        <v>568</v>
      </c>
      <c r="F41" s="97"/>
      <c r="G41" s="97"/>
      <c r="H41" s="97"/>
      <c r="I41" s="108">
        <f>'3. melléklet'!Z40+'2. melléklet'!BB40+'2. melléklet'!BC40++'2. melléklet'!DB40+'2. melléklet'!AM40</f>
        <v>0</v>
      </c>
      <c r="J41" s="206">
        <f>'2. melléklet'!J40+'2. melléklet'!AN40+'2. melléklet'!AO40+'2. melléklet'!AP40+'2. melléklet'!BE40+'2. melléklet'!BF40+'2. melléklet'!BG40+'3. melléklet'!O40+'3. melléklet'!P40+'3. melléklet'!Y40+'4. melléklet'!I40</f>
        <v>0</v>
      </c>
      <c r="K41" s="208"/>
      <c r="L41" s="206">
        <f>'2. melléklet'!AC40+'2. melléklet'!AQ40</f>
        <v>0</v>
      </c>
      <c r="M41" s="206">
        <f>SUM('4. melléklet'!J40:L40)</f>
        <v>0</v>
      </c>
      <c r="N41" s="206">
        <f>'4. melléklet'!N40</f>
        <v>0</v>
      </c>
      <c r="O41" s="206">
        <f>'4. melléklet'!M40+'2. melléklet'!BR40+'2. melléklet'!BS40+'2. melléklet'!CK40+'2. melléklet'!CW40</f>
        <v>0</v>
      </c>
      <c r="P41" s="206">
        <f>'2. melléklet'!K40+'3. melléklet'!J40</f>
        <v>0</v>
      </c>
      <c r="Q41" s="208"/>
      <c r="R41" s="64" t="s">
        <v>245</v>
      </c>
      <c r="S41" s="109"/>
      <c r="T41" s="112"/>
      <c r="U41" s="95" t="s">
        <v>697</v>
      </c>
      <c r="V41" s="97" t="s">
        <v>568</v>
      </c>
      <c r="W41" s="97"/>
      <c r="X41" s="97"/>
      <c r="Y41" s="117"/>
      <c r="Z41" s="206">
        <f>'2. melléklet'!BD40+'2. melléklet'!AR40</f>
        <v>0</v>
      </c>
      <c r="AA41" s="206">
        <f>SUM('2. melléklet'!Z40:AB40)</f>
        <v>0</v>
      </c>
      <c r="AB41" s="206">
        <f>'3. melléklet'!I40+'3. melléklet'!K40+'3. melléklet'!L40+'3. melléklet'!M40+'2. melléklet'!I40+'2. melléklet'!L40+'2. melléklet'!M40+'2. melléklet'!O40</f>
        <v>0</v>
      </c>
      <c r="AC41" s="206">
        <f>SUM('2. melléklet'!BT40:BW40)</f>
        <v>0</v>
      </c>
      <c r="AD41" s="208"/>
      <c r="AE41" s="208"/>
      <c r="AF41" s="208"/>
      <c r="AG41" s="208"/>
      <c r="AH41" s="254">
        <f t="shared" si="5"/>
        <v>0</v>
      </c>
      <c r="AI41" s="64" t="s">
        <v>320</v>
      </c>
      <c r="AJ41" s="109"/>
      <c r="AK41" s="112"/>
      <c r="AL41" s="95" t="s">
        <v>697</v>
      </c>
      <c r="AM41" s="97" t="s">
        <v>568</v>
      </c>
      <c r="AN41" s="97"/>
      <c r="AO41" s="97"/>
      <c r="AP41" s="117"/>
      <c r="AQ41" s="208"/>
      <c r="AR41" s="206">
        <f>'2. melléklet'!N40</f>
        <v>0</v>
      </c>
      <c r="AS41" s="208"/>
      <c r="AT41" s="208"/>
      <c r="AU41" s="208"/>
      <c r="AV41" s="208"/>
      <c r="AW41" s="208">
        <v>2300</v>
      </c>
      <c r="AX41" s="208"/>
      <c r="AY41" s="208"/>
      <c r="AZ41" s="64" t="s">
        <v>396</v>
      </c>
      <c r="BA41" s="109"/>
      <c r="BB41" s="112"/>
      <c r="BC41" s="95" t="s">
        <v>697</v>
      </c>
      <c r="BD41" s="97" t="s">
        <v>568</v>
      </c>
      <c r="BE41" s="97"/>
      <c r="BF41" s="97"/>
      <c r="BG41" s="117"/>
      <c r="BH41" s="208"/>
      <c r="BI41" s="208"/>
      <c r="BJ41" s="254">
        <f t="shared" si="7"/>
        <v>2300</v>
      </c>
      <c r="BK41" s="208">
        <f t="shared" si="8"/>
        <v>2300</v>
      </c>
    </row>
    <row r="42" spans="1:63" s="134" customFormat="1" ht="30" customHeight="1" thickBot="1">
      <c r="A42" s="64" t="s">
        <v>61</v>
      </c>
      <c r="B42" s="361" t="s">
        <v>591</v>
      </c>
      <c r="C42" s="362"/>
      <c r="D42" s="362"/>
      <c r="E42" s="362"/>
      <c r="F42" s="362"/>
      <c r="G42" s="362"/>
      <c r="H42" s="362"/>
      <c r="I42" s="147">
        <f>SUM(I8,I33)</f>
        <v>370226</v>
      </c>
      <c r="J42" s="147">
        <f aca="true" t="shared" si="30" ref="J42:Q42">SUM(J8,J33)</f>
        <v>189879</v>
      </c>
      <c r="K42" s="147">
        <f t="shared" si="30"/>
        <v>0</v>
      </c>
      <c r="L42" s="147">
        <f>SUM(L8,L33)</f>
        <v>0</v>
      </c>
      <c r="M42" s="147">
        <f t="shared" si="30"/>
        <v>75103</v>
      </c>
      <c r="N42" s="147">
        <f t="shared" si="30"/>
        <v>11725</v>
      </c>
      <c r="O42" s="147">
        <f t="shared" si="30"/>
        <v>42711</v>
      </c>
      <c r="P42" s="147">
        <f t="shared" si="30"/>
        <v>924826</v>
      </c>
      <c r="Q42" s="147">
        <f t="shared" si="30"/>
        <v>0</v>
      </c>
      <c r="R42" s="64" t="s">
        <v>246</v>
      </c>
      <c r="S42" s="361" t="s">
        <v>591</v>
      </c>
      <c r="T42" s="362"/>
      <c r="U42" s="362"/>
      <c r="V42" s="362"/>
      <c r="W42" s="362"/>
      <c r="X42" s="362"/>
      <c r="Y42" s="369"/>
      <c r="Z42" s="147">
        <f aca="true" t="shared" si="31" ref="Z42:AG42">SUM(Z8,Z33)</f>
        <v>33581</v>
      </c>
      <c r="AA42" s="209">
        <f t="shared" si="31"/>
        <v>71041</v>
      </c>
      <c r="AB42" s="209">
        <f t="shared" si="31"/>
        <v>3268127</v>
      </c>
      <c r="AC42" s="209">
        <f t="shared" si="31"/>
        <v>636</v>
      </c>
      <c r="AD42" s="209">
        <f>SUM(AD8,AD33)</f>
        <v>0</v>
      </c>
      <c r="AE42" s="209">
        <f>SUM(AE8,AE33)</f>
        <v>43041</v>
      </c>
      <c r="AF42" s="209">
        <f>SUM(AF8,AF33)</f>
        <v>14556</v>
      </c>
      <c r="AG42" s="209">
        <f t="shared" si="31"/>
        <v>3596</v>
      </c>
      <c r="AH42" s="254">
        <f t="shared" si="5"/>
        <v>5049048</v>
      </c>
      <c r="AI42" s="64" t="s">
        <v>321</v>
      </c>
      <c r="AJ42" s="361" t="s">
        <v>591</v>
      </c>
      <c r="AK42" s="362"/>
      <c r="AL42" s="362"/>
      <c r="AM42" s="362"/>
      <c r="AN42" s="362"/>
      <c r="AO42" s="362"/>
      <c r="AP42" s="369"/>
      <c r="AQ42" s="147">
        <f aca="true" t="shared" si="32" ref="AQ42:AY42">SUM(AQ8,AQ33)</f>
        <v>0</v>
      </c>
      <c r="AR42" s="209">
        <f t="shared" si="32"/>
        <v>17500</v>
      </c>
      <c r="AS42" s="209">
        <f t="shared" si="32"/>
        <v>0</v>
      </c>
      <c r="AT42" s="209">
        <f t="shared" si="32"/>
        <v>3083</v>
      </c>
      <c r="AU42" s="209">
        <f t="shared" si="32"/>
        <v>0</v>
      </c>
      <c r="AV42" s="209">
        <f t="shared" si="32"/>
        <v>0</v>
      </c>
      <c r="AW42" s="209">
        <f t="shared" si="32"/>
        <v>5000</v>
      </c>
      <c r="AX42" s="209">
        <f t="shared" si="32"/>
        <v>0</v>
      </c>
      <c r="AY42" s="209">
        <f t="shared" si="32"/>
        <v>0</v>
      </c>
      <c r="AZ42" s="64" t="s">
        <v>397</v>
      </c>
      <c r="BA42" s="361" t="s">
        <v>591</v>
      </c>
      <c r="BB42" s="362"/>
      <c r="BC42" s="362"/>
      <c r="BD42" s="362"/>
      <c r="BE42" s="362"/>
      <c r="BF42" s="362"/>
      <c r="BG42" s="369"/>
      <c r="BH42" s="235">
        <f>SUM(BH8,BH33)</f>
        <v>0</v>
      </c>
      <c r="BI42" s="235">
        <f>SUM(BI8,BI33)</f>
        <v>0</v>
      </c>
      <c r="BJ42" s="254">
        <f t="shared" si="7"/>
        <v>25583</v>
      </c>
      <c r="BK42" s="209">
        <f t="shared" si="8"/>
        <v>5074631</v>
      </c>
    </row>
    <row r="43" spans="1:63" s="149" customFormat="1" ht="15" customHeight="1" thickBot="1">
      <c r="A43" s="64" t="s">
        <v>62</v>
      </c>
      <c r="B43" s="130" t="s">
        <v>112</v>
      </c>
      <c r="C43" s="363" t="s">
        <v>569</v>
      </c>
      <c r="D43" s="363"/>
      <c r="E43" s="363"/>
      <c r="F43" s="363"/>
      <c r="G43" s="363"/>
      <c r="H43" s="363"/>
      <c r="I43" s="133">
        <f>SUM(I44,I46,I49)</f>
        <v>0</v>
      </c>
      <c r="J43" s="133">
        <f aca="true" t="shared" si="33" ref="J43:Q43">SUM(J44,J46,J49)</f>
        <v>30820</v>
      </c>
      <c r="K43" s="133">
        <f t="shared" si="33"/>
        <v>0</v>
      </c>
      <c r="L43" s="133">
        <f>SUM(L44,L46,L49)</f>
        <v>0</v>
      </c>
      <c r="M43" s="133">
        <f t="shared" si="33"/>
        <v>17809</v>
      </c>
      <c r="N43" s="133">
        <f t="shared" si="33"/>
        <v>11746</v>
      </c>
      <c r="O43" s="133">
        <f t="shared" si="33"/>
        <v>1743</v>
      </c>
      <c r="P43" s="133">
        <f t="shared" si="33"/>
        <v>0</v>
      </c>
      <c r="Q43" s="133">
        <f t="shared" si="33"/>
        <v>0</v>
      </c>
      <c r="R43" s="64" t="s">
        <v>247</v>
      </c>
      <c r="S43" s="130" t="s">
        <v>112</v>
      </c>
      <c r="T43" s="363" t="s">
        <v>569</v>
      </c>
      <c r="U43" s="363"/>
      <c r="V43" s="363"/>
      <c r="W43" s="363"/>
      <c r="X43" s="363"/>
      <c r="Y43" s="370"/>
      <c r="Z43" s="133">
        <f aca="true" t="shared" si="34" ref="Z43:AG43">SUM(Z44,Z46,Z49)</f>
        <v>0</v>
      </c>
      <c r="AA43" s="204">
        <f t="shared" si="34"/>
        <v>0</v>
      </c>
      <c r="AB43" s="204">
        <f t="shared" si="34"/>
        <v>652186</v>
      </c>
      <c r="AC43" s="204">
        <f t="shared" si="34"/>
        <v>0</v>
      </c>
      <c r="AD43" s="204">
        <f>SUM(AD44,AD46,AD49)</f>
        <v>0</v>
      </c>
      <c r="AE43" s="204">
        <f>SUM(AE44,AE46,AE49)</f>
        <v>0</v>
      </c>
      <c r="AF43" s="204">
        <f>SUM(AF44,AF46,AF49)</f>
        <v>0</v>
      </c>
      <c r="AG43" s="204">
        <f t="shared" si="34"/>
        <v>0</v>
      </c>
      <c r="AH43" s="254">
        <f t="shared" si="5"/>
        <v>714304</v>
      </c>
      <c r="AI43" s="64" t="s">
        <v>322</v>
      </c>
      <c r="AJ43" s="130" t="s">
        <v>112</v>
      </c>
      <c r="AK43" s="363" t="s">
        <v>569</v>
      </c>
      <c r="AL43" s="363"/>
      <c r="AM43" s="363"/>
      <c r="AN43" s="363"/>
      <c r="AO43" s="363"/>
      <c r="AP43" s="370"/>
      <c r="AQ43" s="133">
        <f aca="true" t="shared" si="35" ref="AQ43:AY43">SUM(AQ44,AQ46,AQ49)</f>
        <v>0</v>
      </c>
      <c r="AR43" s="204">
        <f t="shared" si="35"/>
        <v>0</v>
      </c>
      <c r="AS43" s="204">
        <f t="shared" si="35"/>
        <v>0</v>
      </c>
      <c r="AT43" s="204">
        <f t="shared" si="35"/>
        <v>0</v>
      </c>
      <c r="AU43" s="204">
        <f t="shared" si="35"/>
        <v>0</v>
      </c>
      <c r="AV43" s="204">
        <f t="shared" si="35"/>
        <v>0</v>
      </c>
      <c r="AW43" s="204">
        <f t="shared" si="35"/>
        <v>0</v>
      </c>
      <c r="AX43" s="204">
        <f t="shared" si="35"/>
        <v>0</v>
      </c>
      <c r="AY43" s="204">
        <f t="shared" si="35"/>
        <v>0</v>
      </c>
      <c r="AZ43" s="64" t="s">
        <v>398</v>
      </c>
      <c r="BA43" s="130" t="s">
        <v>112</v>
      </c>
      <c r="BB43" s="363" t="s">
        <v>569</v>
      </c>
      <c r="BC43" s="363"/>
      <c r="BD43" s="363"/>
      <c r="BE43" s="363"/>
      <c r="BF43" s="363"/>
      <c r="BG43" s="370"/>
      <c r="BH43" s="232">
        <f>SUM(BH44,BH46,BH49)</f>
        <v>0</v>
      </c>
      <c r="BI43" s="232">
        <f>SUM(BI44,BI46,BI49)</f>
        <v>0</v>
      </c>
      <c r="BJ43" s="254">
        <f t="shared" si="7"/>
        <v>0</v>
      </c>
      <c r="BK43" s="204">
        <f t="shared" si="8"/>
        <v>714304</v>
      </c>
    </row>
    <row r="44" spans="1:63" s="149" customFormat="1" ht="15" customHeight="1" thickBot="1">
      <c r="A44" s="64" t="s">
        <v>64</v>
      </c>
      <c r="B44" s="148"/>
      <c r="C44" s="136" t="s">
        <v>113</v>
      </c>
      <c r="D44" s="137" t="s">
        <v>570</v>
      </c>
      <c r="E44" s="137"/>
      <c r="F44" s="137"/>
      <c r="G44" s="137"/>
      <c r="H44" s="137"/>
      <c r="I44" s="139">
        <f>SUM(I45)</f>
        <v>0</v>
      </c>
      <c r="J44" s="139">
        <f aca="true" t="shared" si="36" ref="J44:Q44">SUM(J45)</f>
        <v>0</v>
      </c>
      <c r="K44" s="139">
        <f t="shared" si="36"/>
        <v>0</v>
      </c>
      <c r="L44" s="139">
        <f t="shared" si="36"/>
        <v>0</v>
      </c>
      <c r="M44" s="139">
        <f t="shared" si="36"/>
        <v>0</v>
      </c>
      <c r="N44" s="139">
        <f t="shared" si="36"/>
        <v>0</v>
      </c>
      <c r="O44" s="139">
        <f t="shared" si="36"/>
        <v>0</v>
      </c>
      <c r="P44" s="139">
        <f t="shared" si="36"/>
        <v>0</v>
      </c>
      <c r="Q44" s="139">
        <f t="shared" si="36"/>
        <v>0</v>
      </c>
      <c r="R44" s="64" t="s">
        <v>248</v>
      </c>
      <c r="S44" s="148"/>
      <c r="T44" s="136" t="s">
        <v>113</v>
      </c>
      <c r="U44" s="137" t="s">
        <v>570</v>
      </c>
      <c r="V44" s="137"/>
      <c r="W44" s="137"/>
      <c r="X44" s="137"/>
      <c r="Y44" s="219"/>
      <c r="Z44" s="139">
        <f aca="true" t="shared" si="37" ref="Z44:AG44">SUM(Z45)</f>
        <v>0</v>
      </c>
      <c r="AA44" s="207">
        <f t="shared" si="37"/>
        <v>0</v>
      </c>
      <c r="AB44" s="207">
        <f t="shared" si="37"/>
        <v>0</v>
      </c>
      <c r="AC44" s="207">
        <f t="shared" si="37"/>
        <v>0</v>
      </c>
      <c r="AD44" s="207">
        <f t="shared" si="37"/>
        <v>0</v>
      </c>
      <c r="AE44" s="207">
        <f t="shared" si="37"/>
        <v>0</v>
      </c>
      <c r="AF44" s="207">
        <f t="shared" si="37"/>
        <v>0</v>
      </c>
      <c r="AG44" s="207">
        <f t="shared" si="37"/>
        <v>0</v>
      </c>
      <c r="AH44" s="254">
        <f t="shared" si="5"/>
        <v>0</v>
      </c>
      <c r="AI44" s="64" t="s">
        <v>323</v>
      </c>
      <c r="AJ44" s="148"/>
      <c r="AK44" s="136" t="s">
        <v>113</v>
      </c>
      <c r="AL44" s="137" t="s">
        <v>570</v>
      </c>
      <c r="AM44" s="137"/>
      <c r="AN44" s="137"/>
      <c r="AO44" s="137"/>
      <c r="AP44" s="219"/>
      <c r="AQ44" s="139">
        <f aca="true" t="shared" si="38" ref="AQ44:AY44">SUM(AQ45)</f>
        <v>0</v>
      </c>
      <c r="AR44" s="207">
        <f t="shared" si="38"/>
        <v>0</v>
      </c>
      <c r="AS44" s="207">
        <f t="shared" si="38"/>
        <v>0</v>
      </c>
      <c r="AT44" s="207">
        <f t="shared" si="38"/>
        <v>0</v>
      </c>
      <c r="AU44" s="207">
        <f t="shared" si="38"/>
        <v>0</v>
      </c>
      <c r="AV44" s="207">
        <f t="shared" si="38"/>
        <v>0</v>
      </c>
      <c r="AW44" s="207">
        <f t="shared" si="38"/>
        <v>0</v>
      </c>
      <c r="AX44" s="207">
        <f t="shared" si="38"/>
        <v>0</v>
      </c>
      <c r="AY44" s="207">
        <f t="shared" si="38"/>
        <v>0</v>
      </c>
      <c r="AZ44" s="64" t="s">
        <v>399</v>
      </c>
      <c r="BA44" s="148"/>
      <c r="BB44" s="136" t="s">
        <v>113</v>
      </c>
      <c r="BC44" s="137" t="s">
        <v>570</v>
      </c>
      <c r="BD44" s="137"/>
      <c r="BE44" s="137"/>
      <c r="BF44" s="137"/>
      <c r="BG44" s="219"/>
      <c r="BH44" s="234">
        <f>SUM(BH45)</f>
        <v>0</v>
      </c>
      <c r="BI44" s="234">
        <f>SUM(BI45)</f>
        <v>0</v>
      </c>
      <c r="BJ44" s="254">
        <f t="shared" si="7"/>
        <v>0</v>
      </c>
      <c r="BK44" s="207">
        <f t="shared" si="8"/>
        <v>0</v>
      </c>
    </row>
    <row r="45" spans="1:63" s="110" customFormat="1" ht="15" customHeight="1" thickBot="1">
      <c r="A45" s="64" t="s">
        <v>65</v>
      </c>
      <c r="B45" s="109"/>
      <c r="C45" s="95"/>
      <c r="D45" s="113" t="s">
        <v>698</v>
      </c>
      <c r="E45" s="107" t="s">
        <v>571</v>
      </c>
      <c r="F45" s="107"/>
      <c r="G45" s="107"/>
      <c r="H45" s="107"/>
      <c r="I45" s="108">
        <f>'3. melléklet'!Z44+'2. melléklet'!BB44+'2. melléklet'!BC44++'2. melléklet'!DB44+'2. melléklet'!AM44</f>
        <v>0</v>
      </c>
      <c r="J45" s="206">
        <f>'2. melléklet'!J44+'2. melléklet'!AN44+'2. melléklet'!AO44+'2. melléklet'!AP44+'2. melléklet'!BE44+'2. melléklet'!BF44+'2. melléklet'!BG44+'3. melléklet'!O44+'3. melléklet'!P44+'3. melléklet'!Y44+'4. melléklet'!I44</f>
        <v>0</v>
      </c>
      <c r="K45" s="206"/>
      <c r="L45" s="206">
        <f>'2. melléklet'!AC44+'2. melléklet'!AQ44</f>
        <v>0</v>
      </c>
      <c r="M45" s="206">
        <f>SUM('4. melléklet'!J44:L44)</f>
        <v>0</v>
      </c>
      <c r="N45" s="206">
        <f>'4. melléklet'!N44</f>
        <v>0</v>
      </c>
      <c r="O45" s="206">
        <f>'4. melléklet'!M44+'2. melléklet'!BR44+'2. melléklet'!BS44+'2. melléklet'!CK44+'2. melléklet'!CW44</f>
        <v>0</v>
      </c>
      <c r="P45" s="206">
        <f>'2. melléklet'!K44+'3. melléklet'!J44</f>
        <v>0</v>
      </c>
      <c r="Q45" s="206"/>
      <c r="R45" s="64" t="s">
        <v>249</v>
      </c>
      <c r="S45" s="109"/>
      <c r="T45" s="95"/>
      <c r="U45" s="113" t="s">
        <v>698</v>
      </c>
      <c r="V45" s="107" t="s">
        <v>571</v>
      </c>
      <c r="W45" s="107"/>
      <c r="X45" s="107"/>
      <c r="Y45" s="214"/>
      <c r="Z45" s="206">
        <f>'2. melléklet'!BD44+'2. melléklet'!AR44</f>
        <v>0</v>
      </c>
      <c r="AA45" s="206">
        <f>SUM('2. melléklet'!Z44:AB44)</f>
        <v>0</v>
      </c>
      <c r="AB45" s="206">
        <f>'3. melléklet'!I44+'3. melléklet'!K44+'3. melléklet'!L44+'3. melléklet'!M44+'2. melléklet'!I44+'2. melléklet'!L44+'2. melléklet'!M44+'2. melléklet'!O44</f>
        <v>0</v>
      </c>
      <c r="AC45" s="206">
        <f>SUM('2. melléklet'!BT44:BW44)</f>
        <v>0</v>
      </c>
      <c r="AD45" s="206"/>
      <c r="AE45" s="206"/>
      <c r="AF45" s="206"/>
      <c r="AG45" s="206"/>
      <c r="AH45" s="254">
        <f t="shared" si="5"/>
        <v>0</v>
      </c>
      <c r="AI45" s="64" t="s">
        <v>324</v>
      </c>
      <c r="AJ45" s="109"/>
      <c r="AK45" s="95"/>
      <c r="AL45" s="113" t="s">
        <v>698</v>
      </c>
      <c r="AM45" s="107" t="s">
        <v>571</v>
      </c>
      <c r="AN45" s="107"/>
      <c r="AO45" s="107"/>
      <c r="AP45" s="214"/>
      <c r="AQ45" s="206"/>
      <c r="AR45" s="206">
        <f>'2. melléklet'!N44</f>
        <v>0</v>
      </c>
      <c r="AS45" s="206"/>
      <c r="AT45" s="206"/>
      <c r="AU45" s="206"/>
      <c r="AV45" s="206"/>
      <c r="AW45" s="206"/>
      <c r="AX45" s="206"/>
      <c r="AY45" s="206"/>
      <c r="AZ45" s="64" t="s">
        <v>400</v>
      </c>
      <c r="BA45" s="109"/>
      <c r="BB45" s="95"/>
      <c r="BC45" s="113" t="s">
        <v>698</v>
      </c>
      <c r="BD45" s="107" t="s">
        <v>571</v>
      </c>
      <c r="BE45" s="107"/>
      <c r="BF45" s="107"/>
      <c r="BG45" s="214"/>
      <c r="BH45" s="206"/>
      <c r="BI45" s="206"/>
      <c r="BJ45" s="254">
        <f t="shared" si="7"/>
        <v>0</v>
      </c>
      <c r="BK45" s="206">
        <f t="shared" si="8"/>
        <v>0</v>
      </c>
    </row>
    <row r="46" spans="1:63" s="134" customFormat="1" ht="15" customHeight="1" thickBot="1">
      <c r="A46" s="64" t="s">
        <v>66</v>
      </c>
      <c r="B46" s="135"/>
      <c r="C46" s="136" t="s">
        <v>572</v>
      </c>
      <c r="D46" s="137" t="s">
        <v>573</v>
      </c>
      <c r="E46" s="137"/>
      <c r="F46" s="137"/>
      <c r="G46" s="137"/>
      <c r="H46" s="141"/>
      <c r="I46" s="139">
        <f>SUM(I47:I48)</f>
        <v>0</v>
      </c>
      <c r="J46" s="139">
        <f aca="true" t="shared" si="39" ref="J46:Q46">SUM(J47:J48)</f>
        <v>30820</v>
      </c>
      <c r="K46" s="139">
        <f t="shared" si="39"/>
        <v>0</v>
      </c>
      <c r="L46" s="139">
        <f>SUM(L47:L48)</f>
        <v>0</v>
      </c>
      <c r="M46" s="139">
        <f t="shared" si="39"/>
        <v>17809</v>
      </c>
      <c r="N46" s="139">
        <f t="shared" si="39"/>
        <v>11746</v>
      </c>
      <c r="O46" s="139">
        <f t="shared" si="39"/>
        <v>1743</v>
      </c>
      <c r="P46" s="139">
        <f t="shared" si="39"/>
        <v>0</v>
      </c>
      <c r="Q46" s="139">
        <f t="shared" si="39"/>
        <v>0</v>
      </c>
      <c r="R46" s="64" t="s">
        <v>250</v>
      </c>
      <c r="S46" s="135"/>
      <c r="T46" s="136" t="s">
        <v>572</v>
      </c>
      <c r="U46" s="137" t="s">
        <v>573</v>
      </c>
      <c r="V46" s="137"/>
      <c r="W46" s="137"/>
      <c r="X46" s="137"/>
      <c r="Y46" s="213"/>
      <c r="Z46" s="139">
        <f aca="true" t="shared" si="40" ref="Z46:AG46">SUM(Z47:Z48)</f>
        <v>0</v>
      </c>
      <c r="AA46" s="207">
        <f t="shared" si="40"/>
        <v>0</v>
      </c>
      <c r="AB46" s="207">
        <f t="shared" si="40"/>
        <v>652186</v>
      </c>
      <c r="AC46" s="207">
        <f t="shared" si="40"/>
        <v>0</v>
      </c>
      <c r="AD46" s="207">
        <f>SUM(AD47:AD48)</f>
        <v>0</v>
      </c>
      <c r="AE46" s="207">
        <f>SUM(AE47:AE48)</f>
        <v>0</v>
      </c>
      <c r="AF46" s="207">
        <f>SUM(AF47:AF48)</f>
        <v>0</v>
      </c>
      <c r="AG46" s="207">
        <f t="shared" si="40"/>
        <v>0</v>
      </c>
      <c r="AH46" s="254">
        <f t="shared" si="5"/>
        <v>714304</v>
      </c>
      <c r="AI46" s="64" t="s">
        <v>325</v>
      </c>
      <c r="AJ46" s="135"/>
      <c r="AK46" s="136" t="s">
        <v>572</v>
      </c>
      <c r="AL46" s="137" t="s">
        <v>573</v>
      </c>
      <c r="AM46" s="137"/>
      <c r="AN46" s="137"/>
      <c r="AO46" s="137"/>
      <c r="AP46" s="213"/>
      <c r="AQ46" s="139">
        <f aca="true" t="shared" si="41" ref="AQ46:AY46">SUM(AQ47:AQ48)</f>
        <v>0</v>
      </c>
      <c r="AR46" s="207">
        <f t="shared" si="41"/>
        <v>0</v>
      </c>
      <c r="AS46" s="207">
        <f t="shared" si="41"/>
        <v>0</v>
      </c>
      <c r="AT46" s="207">
        <f t="shared" si="41"/>
        <v>0</v>
      </c>
      <c r="AU46" s="207">
        <f t="shared" si="41"/>
        <v>0</v>
      </c>
      <c r="AV46" s="207">
        <f t="shared" si="41"/>
        <v>0</v>
      </c>
      <c r="AW46" s="207">
        <f t="shared" si="41"/>
        <v>0</v>
      </c>
      <c r="AX46" s="207">
        <f t="shared" si="41"/>
        <v>0</v>
      </c>
      <c r="AY46" s="207">
        <f t="shared" si="41"/>
        <v>0</v>
      </c>
      <c r="AZ46" s="64" t="s">
        <v>401</v>
      </c>
      <c r="BA46" s="135"/>
      <c r="BB46" s="136" t="s">
        <v>572</v>
      </c>
      <c r="BC46" s="137" t="s">
        <v>573</v>
      </c>
      <c r="BD46" s="137"/>
      <c r="BE46" s="137"/>
      <c r="BF46" s="137"/>
      <c r="BG46" s="213"/>
      <c r="BH46" s="234">
        <f>SUM(BH47:BH48)</f>
        <v>0</v>
      </c>
      <c r="BI46" s="234">
        <f>SUM(BI47:BI48)</f>
        <v>0</v>
      </c>
      <c r="BJ46" s="254">
        <f t="shared" si="7"/>
        <v>0</v>
      </c>
      <c r="BK46" s="207">
        <f t="shared" si="8"/>
        <v>714304</v>
      </c>
    </row>
    <row r="47" spans="1:63" s="96" customFormat="1" ht="15" customHeight="1" thickBot="1">
      <c r="A47" s="64" t="s">
        <v>67</v>
      </c>
      <c r="B47" s="94"/>
      <c r="C47" s="95"/>
      <c r="D47" s="95" t="s">
        <v>703</v>
      </c>
      <c r="E47" s="97" t="s">
        <v>699</v>
      </c>
      <c r="F47" s="97"/>
      <c r="G47" s="97"/>
      <c r="H47" s="98"/>
      <c r="I47" s="108">
        <f>'3. melléklet'!Z46+'2. melléklet'!BB46+'2. melléklet'!BC46++'2. melléklet'!DB46+'2. melléklet'!AM46</f>
        <v>0</v>
      </c>
      <c r="J47" s="206">
        <f>'2. melléklet'!J46+'2. melléklet'!AN46+'2. melléklet'!AO46+'2. melléklet'!AP46+'2. melléklet'!BE46+'2. melléklet'!BF46+'2. melléklet'!BG46+'3. melléklet'!O46+'3. melléklet'!P46+'3. melléklet'!Y46+'4. melléklet'!I46</f>
        <v>30820</v>
      </c>
      <c r="K47" s="208"/>
      <c r="L47" s="206">
        <f>'2. melléklet'!AC46+'2. melléklet'!AQ46</f>
        <v>0</v>
      </c>
      <c r="M47" s="206">
        <f>SUM('4. melléklet'!J46:L46)</f>
        <v>17809</v>
      </c>
      <c r="N47" s="206">
        <f>'4. melléklet'!N46</f>
        <v>11746</v>
      </c>
      <c r="O47" s="206">
        <f>'4. melléklet'!M46+'2. melléklet'!BR46+'2. melléklet'!BS46+'2. melléklet'!CK46+'2. melléklet'!CW46</f>
        <v>1743</v>
      </c>
      <c r="P47" s="206">
        <f>'2. melléklet'!K46+'3. melléklet'!J46</f>
        <v>0</v>
      </c>
      <c r="Q47" s="208"/>
      <c r="R47" s="64" t="s">
        <v>251</v>
      </c>
      <c r="S47" s="94"/>
      <c r="T47" s="95"/>
      <c r="U47" s="95" t="s">
        <v>703</v>
      </c>
      <c r="V47" s="97" t="s">
        <v>699</v>
      </c>
      <c r="W47" s="97"/>
      <c r="X47" s="97"/>
      <c r="Y47" s="217"/>
      <c r="Z47" s="206">
        <f>'2. melléklet'!BD46+'2. melléklet'!AR46</f>
        <v>0</v>
      </c>
      <c r="AA47" s="206">
        <f>SUM('2. melléklet'!Z46:AB46)</f>
        <v>0</v>
      </c>
      <c r="AB47" s="206">
        <f>'2. melléklet'!Y46+'3. melléklet'!N46</f>
        <v>472508</v>
      </c>
      <c r="AC47" s="206">
        <f>SUM('2. melléklet'!BT46:BW46)</f>
        <v>0</v>
      </c>
      <c r="AD47" s="208"/>
      <c r="AE47" s="208"/>
      <c r="AF47" s="208"/>
      <c r="AG47" s="208"/>
      <c r="AH47" s="254">
        <f t="shared" si="5"/>
        <v>534626</v>
      </c>
      <c r="AI47" s="64" t="s">
        <v>326</v>
      </c>
      <c r="AJ47" s="94"/>
      <c r="AK47" s="95"/>
      <c r="AL47" s="95" t="s">
        <v>703</v>
      </c>
      <c r="AM47" s="97" t="s">
        <v>699</v>
      </c>
      <c r="AN47" s="97"/>
      <c r="AO47" s="97"/>
      <c r="AP47" s="217"/>
      <c r="AQ47" s="208"/>
      <c r="AR47" s="206">
        <f>'2. melléklet'!N46</f>
        <v>0</v>
      </c>
      <c r="AS47" s="208"/>
      <c r="AT47" s="208"/>
      <c r="AU47" s="208"/>
      <c r="AV47" s="208"/>
      <c r="AW47" s="208"/>
      <c r="AX47" s="208"/>
      <c r="AY47" s="208"/>
      <c r="AZ47" s="64" t="s">
        <v>402</v>
      </c>
      <c r="BA47" s="94"/>
      <c r="BB47" s="95"/>
      <c r="BC47" s="95" t="s">
        <v>703</v>
      </c>
      <c r="BD47" s="97" t="s">
        <v>699</v>
      </c>
      <c r="BE47" s="97"/>
      <c r="BF47" s="97"/>
      <c r="BG47" s="217"/>
      <c r="BH47" s="208"/>
      <c r="BI47" s="208"/>
      <c r="BJ47" s="254">
        <f t="shared" si="7"/>
        <v>0</v>
      </c>
      <c r="BK47" s="208">
        <f t="shared" si="8"/>
        <v>534626</v>
      </c>
    </row>
    <row r="48" spans="1:63" s="96" customFormat="1" ht="15" customHeight="1" thickBot="1">
      <c r="A48" s="64" t="s">
        <v>68</v>
      </c>
      <c r="B48" s="94"/>
      <c r="C48" s="95"/>
      <c r="D48" s="95" t="s">
        <v>704</v>
      </c>
      <c r="E48" s="97" t="s">
        <v>700</v>
      </c>
      <c r="F48" s="97"/>
      <c r="G48" s="97"/>
      <c r="H48" s="98"/>
      <c r="I48" s="108">
        <f>'3. melléklet'!Z47+'2. melléklet'!BB47+'2. melléklet'!BC47++'2. melléklet'!DB47+'2. melléklet'!AM47</f>
        <v>0</v>
      </c>
      <c r="J48" s="206">
        <f>'2. melléklet'!J47+'2. melléklet'!AN47+'2. melléklet'!AO47+'2. melléklet'!AP47+'2. melléklet'!BE47+'2. melléklet'!BF47+'2. melléklet'!BG47+'3. melléklet'!O47+'3. melléklet'!P47+'3. melléklet'!Y47+'4. melléklet'!I47</f>
        <v>0</v>
      </c>
      <c r="K48" s="208"/>
      <c r="L48" s="206">
        <f>'2. melléklet'!AC47+'2. melléklet'!AQ47</f>
        <v>0</v>
      </c>
      <c r="M48" s="206">
        <f>SUM('4. melléklet'!J47:L47)</f>
        <v>0</v>
      </c>
      <c r="N48" s="206">
        <f>'4. melléklet'!N47</f>
        <v>0</v>
      </c>
      <c r="O48" s="206">
        <f>'4. melléklet'!M47+'2. melléklet'!BR47+'2. melléklet'!BS47+'2. melléklet'!CK47+'2. melléklet'!CW47</f>
        <v>0</v>
      </c>
      <c r="P48" s="206">
        <f>'2. melléklet'!K47+'3. melléklet'!J47</f>
        <v>0</v>
      </c>
      <c r="Q48" s="208"/>
      <c r="R48" s="64" t="s">
        <v>252</v>
      </c>
      <c r="S48" s="94"/>
      <c r="T48" s="95"/>
      <c r="U48" s="95" t="s">
        <v>704</v>
      </c>
      <c r="V48" s="97" t="s">
        <v>700</v>
      </c>
      <c r="W48" s="97"/>
      <c r="X48" s="97"/>
      <c r="Y48" s="217"/>
      <c r="Z48" s="206">
        <f>'2. melléklet'!BD47+'2. melléklet'!AR47</f>
        <v>0</v>
      </c>
      <c r="AA48" s="206">
        <f>SUM('2. melléklet'!Z47:AB47)</f>
        <v>0</v>
      </c>
      <c r="AB48" s="206">
        <f>'2. melléklet'!Y47+'3. melléklet'!N47</f>
        <v>179678</v>
      </c>
      <c r="AC48" s="206">
        <f>SUM('2. melléklet'!BT47:BW47)</f>
        <v>0</v>
      </c>
      <c r="AD48" s="208"/>
      <c r="AE48" s="208"/>
      <c r="AF48" s="208"/>
      <c r="AG48" s="208"/>
      <c r="AH48" s="254">
        <f t="shared" si="5"/>
        <v>179678</v>
      </c>
      <c r="AI48" s="64" t="s">
        <v>327</v>
      </c>
      <c r="AJ48" s="94"/>
      <c r="AK48" s="95"/>
      <c r="AL48" s="95" t="s">
        <v>704</v>
      </c>
      <c r="AM48" s="97" t="s">
        <v>700</v>
      </c>
      <c r="AN48" s="97"/>
      <c r="AO48" s="97"/>
      <c r="AP48" s="217"/>
      <c r="AQ48" s="208"/>
      <c r="AR48" s="206">
        <f>'2. melléklet'!N47</f>
        <v>0</v>
      </c>
      <c r="AS48" s="208"/>
      <c r="AT48" s="208"/>
      <c r="AU48" s="208"/>
      <c r="AV48" s="208"/>
      <c r="AW48" s="208"/>
      <c r="AX48" s="208"/>
      <c r="AY48" s="208"/>
      <c r="AZ48" s="64" t="s">
        <v>403</v>
      </c>
      <c r="BA48" s="94"/>
      <c r="BB48" s="95"/>
      <c r="BC48" s="95" t="s">
        <v>704</v>
      </c>
      <c r="BD48" s="97" t="s">
        <v>700</v>
      </c>
      <c r="BE48" s="97"/>
      <c r="BF48" s="97"/>
      <c r="BG48" s="217"/>
      <c r="BH48" s="208"/>
      <c r="BI48" s="208"/>
      <c r="BJ48" s="254">
        <f t="shared" si="7"/>
        <v>0</v>
      </c>
      <c r="BK48" s="208">
        <f t="shared" si="8"/>
        <v>179678</v>
      </c>
    </row>
    <row r="49" spans="1:63" s="134" customFormat="1" ht="15" customHeight="1" thickBot="1">
      <c r="A49" s="64" t="s">
        <v>69</v>
      </c>
      <c r="B49" s="188"/>
      <c r="C49" s="189" t="s">
        <v>574</v>
      </c>
      <c r="D49" s="190" t="s">
        <v>225</v>
      </c>
      <c r="E49" s="191"/>
      <c r="F49" s="191"/>
      <c r="G49" s="191"/>
      <c r="H49" s="191"/>
      <c r="I49" s="192"/>
      <c r="J49" s="210"/>
      <c r="K49" s="210"/>
      <c r="L49" s="210"/>
      <c r="M49" s="210"/>
      <c r="N49" s="210"/>
      <c r="O49" s="210"/>
      <c r="P49" s="210"/>
      <c r="Q49" s="210"/>
      <c r="R49" s="64" t="s">
        <v>253</v>
      </c>
      <c r="S49" s="188"/>
      <c r="T49" s="189" t="s">
        <v>574</v>
      </c>
      <c r="U49" s="190" t="s">
        <v>225</v>
      </c>
      <c r="V49" s="191"/>
      <c r="W49" s="191"/>
      <c r="X49" s="191"/>
      <c r="Y49" s="220"/>
      <c r="Z49" s="210"/>
      <c r="AA49" s="210"/>
      <c r="AB49" s="210"/>
      <c r="AC49" s="210"/>
      <c r="AD49" s="210"/>
      <c r="AE49" s="210"/>
      <c r="AF49" s="210"/>
      <c r="AG49" s="210"/>
      <c r="AH49" s="254">
        <f t="shared" si="5"/>
        <v>0</v>
      </c>
      <c r="AI49" s="64" t="s">
        <v>328</v>
      </c>
      <c r="AJ49" s="188"/>
      <c r="AK49" s="189" t="s">
        <v>574</v>
      </c>
      <c r="AL49" s="190" t="s">
        <v>225</v>
      </c>
      <c r="AM49" s="191"/>
      <c r="AN49" s="191"/>
      <c r="AO49" s="191"/>
      <c r="AP49" s="220"/>
      <c r="AQ49" s="210"/>
      <c r="AR49" s="210"/>
      <c r="AS49" s="210"/>
      <c r="AT49" s="210"/>
      <c r="AU49" s="210"/>
      <c r="AV49" s="210"/>
      <c r="AW49" s="210"/>
      <c r="AX49" s="210"/>
      <c r="AY49" s="210"/>
      <c r="AZ49" s="64" t="s">
        <v>404</v>
      </c>
      <c r="BA49" s="188"/>
      <c r="BB49" s="189" t="s">
        <v>574</v>
      </c>
      <c r="BC49" s="190" t="s">
        <v>225</v>
      </c>
      <c r="BD49" s="191"/>
      <c r="BE49" s="191"/>
      <c r="BF49" s="191"/>
      <c r="BG49" s="220"/>
      <c r="BH49" s="236"/>
      <c r="BI49" s="236"/>
      <c r="BJ49" s="254">
        <f t="shared" si="7"/>
        <v>0</v>
      </c>
      <c r="BK49" s="236">
        <f t="shared" si="8"/>
        <v>0</v>
      </c>
    </row>
    <row r="50" spans="1:63" s="134" customFormat="1" ht="15" customHeight="1" thickBot="1">
      <c r="A50" s="64" t="s">
        <v>70</v>
      </c>
      <c r="B50" s="151" t="s">
        <v>585</v>
      </c>
      <c r="C50" s="152" t="s">
        <v>586</v>
      </c>
      <c r="D50" s="153"/>
      <c r="E50" s="153"/>
      <c r="F50" s="153"/>
      <c r="G50" s="153"/>
      <c r="H50" s="153"/>
      <c r="I50" s="133"/>
      <c r="J50" s="204"/>
      <c r="K50" s="204"/>
      <c r="L50" s="204"/>
      <c r="M50" s="204"/>
      <c r="N50" s="204"/>
      <c r="O50" s="204"/>
      <c r="P50" s="204"/>
      <c r="Q50" s="204"/>
      <c r="R50" s="64" t="s">
        <v>254</v>
      </c>
      <c r="S50" s="151" t="s">
        <v>585</v>
      </c>
      <c r="T50" s="152" t="s">
        <v>586</v>
      </c>
      <c r="U50" s="153"/>
      <c r="V50" s="153"/>
      <c r="W50" s="153"/>
      <c r="X50" s="153"/>
      <c r="Y50" s="221"/>
      <c r="Z50" s="204"/>
      <c r="AA50" s="204"/>
      <c r="AB50" s="204"/>
      <c r="AC50" s="204"/>
      <c r="AD50" s="204"/>
      <c r="AE50" s="204"/>
      <c r="AF50" s="204"/>
      <c r="AG50" s="204"/>
      <c r="AH50" s="254">
        <f t="shared" si="5"/>
        <v>0</v>
      </c>
      <c r="AI50" s="64" t="s">
        <v>329</v>
      </c>
      <c r="AJ50" s="151" t="s">
        <v>585</v>
      </c>
      <c r="AK50" s="152" t="s">
        <v>586</v>
      </c>
      <c r="AL50" s="153"/>
      <c r="AM50" s="153"/>
      <c r="AN50" s="153"/>
      <c r="AO50" s="153"/>
      <c r="AP50" s="221"/>
      <c r="AQ50" s="204"/>
      <c r="AR50" s="204"/>
      <c r="AS50" s="204"/>
      <c r="AT50" s="204"/>
      <c r="AU50" s="204"/>
      <c r="AV50" s="204"/>
      <c r="AW50" s="204"/>
      <c r="AX50" s="204"/>
      <c r="AY50" s="204"/>
      <c r="AZ50" s="64" t="s">
        <v>405</v>
      </c>
      <c r="BA50" s="151" t="s">
        <v>585</v>
      </c>
      <c r="BB50" s="152" t="s">
        <v>586</v>
      </c>
      <c r="BC50" s="153"/>
      <c r="BD50" s="153"/>
      <c r="BE50" s="153"/>
      <c r="BF50" s="153"/>
      <c r="BG50" s="221"/>
      <c r="BH50" s="232"/>
      <c r="BI50" s="232"/>
      <c r="BJ50" s="254">
        <f t="shared" si="7"/>
        <v>0</v>
      </c>
      <c r="BK50" s="232">
        <f t="shared" si="8"/>
        <v>0</v>
      </c>
    </row>
    <row r="51" spans="1:63" s="134" customFormat="1" ht="30" customHeight="1" thickBot="1">
      <c r="A51" s="64" t="s">
        <v>71</v>
      </c>
      <c r="B51" s="359" t="s">
        <v>592</v>
      </c>
      <c r="C51" s="360"/>
      <c r="D51" s="360"/>
      <c r="E51" s="360"/>
      <c r="F51" s="360"/>
      <c r="G51" s="360"/>
      <c r="H51" s="360"/>
      <c r="I51" s="147">
        <f>SUM(I42,I43,I50)</f>
        <v>370226</v>
      </c>
      <c r="J51" s="147">
        <f aca="true" t="shared" si="42" ref="J51:Q51">SUM(J42,J43,J50)</f>
        <v>220699</v>
      </c>
      <c r="K51" s="147">
        <f t="shared" si="42"/>
        <v>0</v>
      </c>
      <c r="L51" s="147">
        <f>SUM(L42,L43,L50)</f>
        <v>0</v>
      </c>
      <c r="M51" s="147">
        <f>SUM(M42,M43,M50)</f>
        <v>92912</v>
      </c>
      <c r="N51" s="147">
        <f t="shared" si="42"/>
        <v>23471</v>
      </c>
      <c r="O51" s="147">
        <f t="shared" si="42"/>
        <v>44454</v>
      </c>
      <c r="P51" s="147">
        <f t="shared" si="42"/>
        <v>924826</v>
      </c>
      <c r="Q51" s="147">
        <f t="shared" si="42"/>
        <v>0</v>
      </c>
      <c r="R51" s="64" t="s">
        <v>255</v>
      </c>
      <c r="S51" s="359" t="s">
        <v>592</v>
      </c>
      <c r="T51" s="360"/>
      <c r="U51" s="360"/>
      <c r="V51" s="360"/>
      <c r="W51" s="360"/>
      <c r="X51" s="360"/>
      <c r="Y51" s="371"/>
      <c r="Z51" s="147">
        <f aca="true" t="shared" si="43" ref="Z51:AG51">SUM(Z42,Z43,Z50)</f>
        <v>33581</v>
      </c>
      <c r="AA51" s="209">
        <f t="shared" si="43"/>
        <v>71041</v>
      </c>
      <c r="AB51" s="209">
        <f t="shared" si="43"/>
        <v>3920313</v>
      </c>
      <c r="AC51" s="209">
        <f t="shared" si="43"/>
        <v>636</v>
      </c>
      <c r="AD51" s="209">
        <f>SUM(AD42,AD43,AD50)</f>
        <v>0</v>
      </c>
      <c r="AE51" s="209">
        <f>SUM(AE42,AE43,AE50)</f>
        <v>43041</v>
      </c>
      <c r="AF51" s="209">
        <f>SUM(AF42,AF43,AF50)</f>
        <v>14556</v>
      </c>
      <c r="AG51" s="209">
        <f t="shared" si="43"/>
        <v>3596</v>
      </c>
      <c r="AH51" s="254">
        <f t="shared" si="5"/>
        <v>5763352</v>
      </c>
      <c r="AI51" s="64" t="s">
        <v>330</v>
      </c>
      <c r="AJ51" s="359" t="s">
        <v>592</v>
      </c>
      <c r="AK51" s="360"/>
      <c r="AL51" s="360"/>
      <c r="AM51" s="360"/>
      <c r="AN51" s="360"/>
      <c r="AO51" s="360"/>
      <c r="AP51" s="371"/>
      <c r="AQ51" s="147">
        <f aca="true" t="shared" si="44" ref="AQ51:AY51">SUM(AQ42,AQ43,AQ50)</f>
        <v>0</v>
      </c>
      <c r="AR51" s="209">
        <f t="shared" si="44"/>
        <v>17500</v>
      </c>
      <c r="AS51" s="209">
        <f t="shared" si="44"/>
        <v>0</v>
      </c>
      <c r="AT51" s="209">
        <f t="shared" si="44"/>
        <v>3083</v>
      </c>
      <c r="AU51" s="209">
        <f t="shared" si="44"/>
        <v>0</v>
      </c>
      <c r="AV51" s="209">
        <f t="shared" si="44"/>
        <v>0</v>
      </c>
      <c r="AW51" s="209">
        <f t="shared" si="44"/>
        <v>5000</v>
      </c>
      <c r="AX51" s="209">
        <f t="shared" si="44"/>
        <v>0</v>
      </c>
      <c r="AY51" s="209">
        <f t="shared" si="44"/>
        <v>0</v>
      </c>
      <c r="AZ51" s="64" t="s">
        <v>406</v>
      </c>
      <c r="BA51" s="359" t="s">
        <v>592</v>
      </c>
      <c r="BB51" s="360"/>
      <c r="BC51" s="360"/>
      <c r="BD51" s="360"/>
      <c r="BE51" s="360"/>
      <c r="BF51" s="360"/>
      <c r="BG51" s="371"/>
      <c r="BH51" s="235">
        <f>SUM(BH42,BH43,BH50)</f>
        <v>0</v>
      </c>
      <c r="BI51" s="235">
        <f>SUM(BI42,BI43,BI50)</f>
        <v>0</v>
      </c>
      <c r="BJ51" s="254">
        <f t="shared" si="7"/>
        <v>25583</v>
      </c>
      <c r="BK51" s="147">
        <f t="shared" si="8"/>
        <v>5788935</v>
      </c>
    </row>
    <row r="52" spans="1:63" s="56" customFormat="1" ht="15" customHeight="1" thickBot="1">
      <c r="A52" s="64" t="s">
        <v>72</v>
      </c>
      <c r="B52" s="118"/>
      <c r="C52" s="119"/>
      <c r="D52" s="119"/>
      <c r="E52" s="119"/>
      <c r="F52" s="119"/>
      <c r="G52" s="119"/>
      <c r="H52" s="119"/>
      <c r="I52" s="119"/>
      <c r="J52" s="119"/>
      <c r="K52" s="119"/>
      <c r="L52" s="119"/>
      <c r="M52" s="119"/>
      <c r="N52" s="119"/>
      <c r="O52" s="119"/>
      <c r="P52" s="119"/>
      <c r="Q52" s="119"/>
      <c r="R52" s="64" t="s">
        <v>256</v>
      </c>
      <c r="S52" s="119"/>
      <c r="T52" s="119"/>
      <c r="U52" s="119"/>
      <c r="V52" s="119"/>
      <c r="W52" s="119"/>
      <c r="X52" s="119"/>
      <c r="Y52" s="119"/>
      <c r="Z52" s="119"/>
      <c r="AA52" s="119"/>
      <c r="AB52" s="119"/>
      <c r="AC52" s="119"/>
      <c r="AD52" s="119"/>
      <c r="AE52" s="119"/>
      <c r="AF52" s="119"/>
      <c r="AG52" s="119"/>
      <c r="AH52" s="119"/>
      <c r="AI52" s="64" t="s">
        <v>331</v>
      </c>
      <c r="AJ52" s="119"/>
      <c r="AK52" s="119"/>
      <c r="AL52" s="119"/>
      <c r="AM52" s="119"/>
      <c r="AN52" s="119"/>
      <c r="AO52" s="119"/>
      <c r="AP52" s="119"/>
      <c r="AQ52" s="119"/>
      <c r="AR52" s="119"/>
      <c r="AS52" s="119"/>
      <c r="AT52" s="119"/>
      <c r="AU52" s="119"/>
      <c r="AV52" s="119"/>
      <c r="AW52" s="119"/>
      <c r="AX52" s="119"/>
      <c r="AY52" s="119"/>
      <c r="AZ52" s="64" t="s">
        <v>407</v>
      </c>
      <c r="BA52" s="119"/>
      <c r="BB52" s="119"/>
      <c r="BC52" s="119"/>
      <c r="BD52" s="119"/>
      <c r="BE52" s="119"/>
      <c r="BF52" s="119"/>
      <c r="BG52" s="119"/>
      <c r="BH52" s="119"/>
      <c r="BI52" s="119"/>
      <c r="BJ52" s="119"/>
      <c r="BK52" s="119"/>
    </row>
    <row r="53" spans="1:63" ht="195.75" thickBot="1">
      <c r="A53" s="64" t="s">
        <v>73</v>
      </c>
      <c r="B53" s="353" t="s">
        <v>123</v>
      </c>
      <c r="C53" s="353"/>
      <c r="D53" s="353"/>
      <c r="E53" s="353"/>
      <c r="F53" s="353"/>
      <c r="G53" s="353"/>
      <c r="H53" s="353"/>
      <c r="I53" s="105" t="s">
        <v>530</v>
      </c>
      <c r="J53" s="105" t="s">
        <v>943</v>
      </c>
      <c r="K53" s="105" t="s">
        <v>531</v>
      </c>
      <c r="L53" s="105" t="s">
        <v>888</v>
      </c>
      <c r="M53" s="105" t="s">
        <v>532</v>
      </c>
      <c r="N53" s="105" t="s">
        <v>598</v>
      </c>
      <c r="O53" s="105" t="s">
        <v>533</v>
      </c>
      <c r="P53" s="105" t="s">
        <v>534</v>
      </c>
      <c r="Q53" s="105" t="s">
        <v>535</v>
      </c>
      <c r="R53" s="64" t="s">
        <v>257</v>
      </c>
      <c r="S53" s="372" t="s">
        <v>123</v>
      </c>
      <c r="T53" s="373"/>
      <c r="U53" s="373"/>
      <c r="V53" s="373"/>
      <c r="W53" s="373"/>
      <c r="X53" s="373"/>
      <c r="Y53" s="374"/>
      <c r="Z53" s="105" t="s">
        <v>887</v>
      </c>
      <c r="AA53" s="105" t="s">
        <v>599</v>
      </c>
      <c r="AB53" s="105" t="s">
        <v>536</v>
      </c>
      <c r="AC53" s="105" t="s">
        <v>537</v>
      </c>
      <c r="AD53" s="105" t="s">
        <v>538</v>
      </c>
      <c r="AE53" s="105" t="s">
        <v>870</v>
      </c>
      <c r="AF53" s="105" t="s">
        <v>944</v>
      </c>
      <c r="AG53" s="105" t="s">
        <v>871</v>
      </c>
      <c r="AH53" s="253" t="s">
        <v>539</v>
      </c>
      <c r="AI53" s="64" t="s">
        <v>332</v>
      </c>
      <c r="AJ53" s="372" t="s">
        <v>123</v>
      </c>
      <c r="AK53" s="373"/>
      <c r="AL53" s="373"/>
      <c r="AM53" s="373"/>
      <c r="AN53" s="373"/>
      <c r="AO53" s="373"/>
      <c r="AP53" s="374"/>
      <c r="AQ53" s="105" t="s">
        <v>542</v>
      </c>
      <c r="AR53" s="105" t="s">
        <v>547</v>
      </c>
      <c r="AS53" s="105" t="s">
        <v>600</v>
      </c>
      <c r="AT53" s="105" t="s">
        <v>543</v>
      </c>
      <c r="AU53" s="105" t="s">
        <v>886</v>
      </c>
      <c r="AV53" s="105" t="s">
        <v>544</v>
      </c>
      <c r="AW53" s="105" t="s">
        <v>545</v>
      </c>
      <c r="AX53" s="250" t="s">
        <v>551</v>
      </c>
      <c r="AY53" s="105" t="s">
        <v>548</v>
      </c>
      <c r="AZ53" s="64" t="s">
        <v>408</v>
      </c>
      <c r="BA53" s="372" t="s">
        <v>123</v>
      </c>
      <c r="BB53" s="373"/>
      <c r="BC53" s="373"/>
      <c r="BD53" s="373"/>
      <c r="BE53" s="373"/>
      <c r="BF53" s="373"/>
      <c r="BG53" s="374"/>
      <c r="BH53" s="105" t="s">
        <v>549</v>
      </c>
      <c r="BI53" s="105" t="s">
        <v>550</v>
      </c>
      <c r="BJ53" s="253" t="s">
        <v>546</v>
      </c>
      <c r="BK53" s="105" t="s">
        <v>122</v>
      </c>
    </row>
    <row r="54" spans="1:63" s="157" customFormat="1" ht="16.5" thickBot="1">
      <c r="A54" s="64" t="s">
        <v>74</v>
      </c>
      <c r="B54" s="154" t="s">
        <v>99</v>
      </c>
      <c r="C54" s="155" t="s">
        <v>114</v>
      </c>
      <c r="D54" s="155"/>
      <c r="E54" s="155"/>
      <c r="F54" s="155"/>
      <c r="G54" s="155"/>
      <c r="H54" s="155"/>
      <c r="I54" s="156">
        <f>SUM(I55:I59)</f>
        <v>6699</v>
      </c>
      <c r="J54" s="156">
        <f aca="true" t="shared" si="45" ref="J54:Q54">SUM(J55:J59)</f>
        <v>640215</v>
      </c>
      <c r="K54" s="156">
        <f t="shared" si="45"/>
        <v>10192</v>
      </c>
      <c r="L54" s="156">
        <f t="shared" si="45"/>
        <v>54740</v>
      </c>
      <c r="M54" s="156">
        <f t="shared" si="45"/>
        <v>451941</v>
      </c>
      <c r="N54" s="156">
        <f t="shared" si="45"/>
        <v>121265</v>
      </c>
      <c r="O54" s="156">
        <f t="shared" si="45"/>
        <v>241534</v>
      </c>
      <c r="P54" s="156">
        <f t="shared" si="45"/>
        <v>155502</v>
      </c>
      <c r="Q54" s="156">
        <f t="shared" si="45"/>
        <v>25869</v>
      </c>
      <c r="R54" s="64" t="s">
        <v>258</v>
      </c>
      <c r="S54" s="154" t="s">
        <v>99</v>
      </c>
      <c r="T54" s="155" t="s">
        <v>114</v>
      </c>
      <c r="U54" s="155"/>
      <c r="V54" s="155"/>
      <c r="W54" s="155"/>
      <c r="X54" s="155"/>
      <c r="Y54" s="155"/>
      <c r="Z54" s="156">
        <f>SUM(Z55:Z59)</f>
        <v>37305</v>
      </c>
      <c r="AA54" s="156">
        <f>SUM(AA55:AA59)</f>
        <v>83939</v>
      </c>
      <c r="AB54" s="156">
        <f aca="true" t="shared" si="46" ref="AB54:AG54">SUM(AB55:AB59)</f>
        <v>950149</v>
      </c>
      <c r="AC54" s="156">
        <f t="shared" si="46"/>
        <v>2831</v>
      </c>
      <c r="AD54" s="156">
        <f>SUM(AD55:AD59)</f>
        <v>31966</v>
      </c>
      <c r="AE54" s="156">
        <f>SUM(AE55:AE59)</f>
        <v>52839</v>
      </c>
      <c r="AF54" s="156">
        <f>SUM(AF55:AF59)</f>
        <v>21650</v>
      </c>
      <c r="AG54" s="156">
        <f t="shared" si="46"/>
        <v>3596</v>
      </c>
      <c r="AH54" s="254">
        <f>SUM(I54:Q54,Z54:AG54)</f>
        <v>2892232</v>
      </c>
      <c r="AI54" s="64" t="s">
        <v>333</v>
      </c>
      <c r="AJ54" s="154" t="s">
        <v>99</v>
      </c>
      <c r="AK54" s="155" t="s">
        <v>114</v>
      </c>
      <c r="AL54" s="155"/>
      <c r="AM54" s="155"/>
      <c r="AN54" s="155"/>
      <c r="AO54" s="155"/>
      <c r="AP54" s="155"/>
      <c r="AQ54" s="156">
        <f aca="true" t="shared" si="47" ref="AQ54:AY54">SUM(AQ55:AQ59)</f>
        <v>80882</v>
      </c>
      <c r="AR54" s="156">
        <f t="shared" si="47"/>
        <v>51005</v>
      </c>
      <c r="AS54" s="156">
        <f t="shared" si="47"/>
        <v>67264</v>
      </c>
      <c r="AT54" s="156">
        <f t="shared" si="47"/>
        <v>11142</v>
      </c>
      <c r="AU54" s="156">
        <f t="shared" si="47"/>
        <v>0</v>
      </c>
      <c r="AV54" s="156">
        <f t="shared" si="47"/>
        <v>10556</v>
      </c>
      <c r="AW54" s="156">
        <f t="shared" si="47"/>
        <v>3000</v>
      </c>
      <c r="AX54" s="156">
        <f t="shared" si="47"/>
        <v>2792</v>
      </c>
      <c r="AY54" s="156">
        <f t="shared" si="47"/>
        <v>6230</v>
      </c>
      <c r="AZ54" s="64" t="s">
        <v>409</v>
      </c>
      <c r="BA54" s="154" t="s">
        <v>99</v>
      </c>
      <c r="BB54" s="155" t="s">
        <v>114</v>
      </c>
      <c r="BC54" s="155"/>
      <c r="BD54" s="155"/>
      <c r="BE54" s="155"/>
      <c r="BF54" s="155"/>
      <c r="BG54" s="155"/>
      <c r="BH54" s="238">
        <f>SUM(BH55:BH59)</f>
        <v>8000</v>
      </c>
      <c r="BI54" s="255">
        <f>SUM(BI55:BI59)</f>
        <v>450</v>
      </c>
      <c r="BJ54" s="254">
        <f aca="true" t="shared" si="48" ref="BJ54:BJ79">SUM(AQ54:AY54,BH54:BI54)</f>
        <v>241321</v>
      </c>
      <c r="BK54" s="156">
        <f aca="true" t="shared" si="49" ref="BK54:BK79">SUM(AH54,BJ54)</f>
        <v>3133553</v>
      </c>
    </row>
    <row r="55" spans="1:63" s="157" customFormat="1" ht="16.5" thickBot="1">
      <c r="A55" s="64" t="s">
        <v>75</v>
      </c>
      <c r="B55" s="158"/>
      <c r="C55" s="159" t="s">
        <v>101</v>
      </c>
      <c r="D55" s="160" t="s">
        <v>115</v>
      </c>
      <c r="E55" s="160"/>
      <c r="F55" s="160"/>
      <c r="G55" s="160"/>
      <c r="H55" s="161"/>
      <c r="I55" s="162">
        <f>'3. melléklet'!Z54+'2. melléklet'!BB54+'2. melléklet'!BC54++'2. melléklet'!DB54+'2. melléklet'!AM54</f>
        <v>3120</v>
      </c>
      <c r="J55" s="162">
        <f>'2. melléklet'!J54+'2. melléklet'!AN54+'2. melléklet'!AO54+'2. melléklet'!AP54+'2. melléklet'!BE54+'2. melléklet'!BF54+'2. melléklet'!BG54+'3. melléklet'!O54+'3. melléklet'!P54+'3. melléklet'!Y54+'4. melléklet'!I54</f>
        <v>125030</v>
      </c>
      <c r="K55" s="162"/>
      <c r="L55" s="162">
        <f>'2. melléklet'!AC54+'2. melléklet'!AQ54</f>
        <v>0</v>
      </c>
      <c r="M55" s="207">
        <f>SUM('4. melléklet'!J54:L54)</f>
        <v>253665</v>
      </c>
      <c r="N55" s="207">
        <f>'4. melléklet'!N54</f>
        <v>37171</v>
      </c>
      <c r="O55" s="207">
        <f>'4. melléklet'!M54+'2. melléklet'!BR54+'2. melléklet'!BS54+'2. melléklet'!CK54+'2. melléklet'!CW54-1500-320</f>
        <v>75119</v>
      </c>
      <c r="P55" s="162">
        <f>'2. melléklet'!K54+'3. melléklet'!J54</f>
        <v>2886</v>
      </c>
      <c r="Q55" s="162"/>
      <c r="R55" s="64" t="s">
        <v>259</v>
      </c>
      <c r="S55" s="158"/>
      <c r="T55" s="159" t="s">
        <v>101</v>
      </c>
      <c r="U55" s="160" t="s">
        <v>115</v>
      </c>
      <c r="V55" s="160"/>
      <c r="W55" s="160"/>
      <c r="X55" s="160"/>
      <c r="Y55" s="161"/>
      <c r="Z55" s="162">
        <f>'2. melléklet'!BD54+'2. melléklet'!AR54</f>
        <v>0</v>
      </c>
      <c r="AA55" s="207">
        <f>SUM('2. melléklet'!Z54:AB54)</f>
        <v>71716</v>
      </c>
      <c r="AB55" s="162">
        <f>'3. melléklet'!I54+'3. melléklet'!K54+'3. melléklet'!L54+'3. melléklet'!M54+'2. melléklet'!I54+'2. melléklet'!L54+'2. melléklet'!M54+'2. melléklet'!O54+1000</f>
        <v>238905</v>
      </c>
      <c r="AC55" s="162">
        <f>SUM('2. melléklet'!BT54:BW54)</f>
        <v>0</v>
      </c>
      <c r="AD55" s="162"/>
      <c r="AE55" s="162"/>
      <c r="AF55" s="162"/>
      <c r="AG55" s="162"/>
      <c r="AH55" s="254">
        <f aca="true" t="shared" si="50" ref="AH55:AH79">SUM(I55:Q55,Z55:AG55)</f>
        <v>807612</v>
      </c>
      <c r="AI55" s="64" t="s">
        <v>334</v>
      </c>
      <c r="AJ55" s="158"/>
      <c r="AK55" s="159" t="s">
        <v>101</v>
      </c>
      <c r="AL55" s="160" t="s">
        <v>115</v>
      </c>
      <c r="AM55" s="160"/>
      <c r="AN55" s="160"/>
      <c r="AO55" s="160"/>
      <c r="AP55" s="161"/>
      <c r="AQ55" s="162"/>
      <c r="AR55" s="162">
        <f>'2. melléklet'!N54</f>
        <v>7781</v>
      </c>
      <c r="AS55" s="162"/>
      <c r="AT55" s="162">
        <v>1820</v>
      </c>
      <c r="AU55" s="162"/>
      <c r="AV55" s="162"/>
      <c r="AW55" s="162"/>
      <c r="AX55" s="162"/>
      <c r="AY55" s="162"/>
      <c r="AZ55" s="64" t="s">
        <v>410</v>
      </c>
      <c r="BA55" s="158"/>
      <c r="BB55" s="159" t="s">
        <v>101</v>
      </c>
      <c r="BC55" s="160" t="s">
        <v>115</v>
      </c>
      <c r="BD55" s="160"/>
      <c r="BE55" s="160"/>
      <c r="BF55" s="160"/>
      <c r="BG55" s="160"/>
      <c r="BH55" s="239"/>
      <c r="BI55" s="256"/>
      <c r="BJ55" s="254">
        <f t="shared" si="48"/>
        <v>9601</v>
      </c>
      <c r="BK55" s="162">
        <f t="shared" si="49"/>
        <v>817213</v>
      </c>
    </row>
    <row r="56" spans="1:63" s="157" customFormat="1" ht="16.5" thickBot="1">
      <c r="A56" s="64" t="s">
        <v>76</v>
      </c>
      <c r="B56" s="158"/>
      <c r="C56" s="159" t="s">
        <v>103</v>
      </c>
      <c r="D56" s="163" t="s">
        <v>575</v>
      </c>
      <c r="E56" s="164"/>
      <c r="F56" s="163"/>
      <c r="G56" s="163"/>
      <c r="H56" s="165"/>
      <c r="I56" s="166">
        <f>'3. melléklet'!Z55+'2. melléklet'!BB55+'2. melléklet'!BC55++'2. melléklet'!DB55+'2. melléklet'!AM55</f>
        <v>889</v>
      </c>
      <c r="J56" s="166">
        <f>'2. melléklet'!J55+'2. melléklet'!AN55+'2. melléklet'!AO55+'2. melléklet'!AP55+'2. melléklet'!BE55+'2. melléklet'!BF55+'2. melléklet'!BG55+'3. melléklet'!O55+'3. melléklet'!P55+'3. melléklet'!Y55+'4. melléklet'!I55</f>
        <v>31659</v>
      </c>
      <c r="K56" s="166"/>
      <c r="L56" s="166">
        <f>'2. melléklet'!AC55+'2. melléklet'!AQ55</f>
        <v>0</v>
      </c>
      <c r="M56" s="207">
        <f>SUM('4. melléklet'!J55:L55)</f>
        <v>69169</v>
      </c>
      <c r="N56" s="207">
        <f>'4. melléklet'!N55</f>
        <v>9464</v>
      </c>
      <c r="O56" s="207">
        <f>'4. melléklet'!M55+'2. melléklet'!BR55+'2. melléklet'!BS55+'2. melléklet'!CK55+'2. melléklet'!CW55</f>
        <v>19273</v>
      </c>
      <c r="P56" s="166">
        <f>'2. melléklet'!K55+'3. melléklet'!J55</f>
        <v>779</v>
      </c>
      <c r="Q56" s="166"/>
      <c r="R56" s="64" t="s">
        <v>260</v>
      </c>
      <c r="S56" s="158"/>
      <c r="T56" s="159" t="s">
        <v>103</v>
      </c>
      <c r="U56" s="163" t="s">
        <v>575</v>
      </c>
      <c r="V56" s="164"/>
      <c r="W56" s="163"/>
      <c r="X56" s="163"/>
      <c r="Y56" s="165"/>
      <c r="Z56" s="166">
        <f>'2. melléklet'!BD55+'2. melléklet'!AR55</f>
        <v>0</v>
      </c>
      <c r="AA56" s="207">
        <f>SUM('2. melléklet'!Z55:AB55)</f>
        <v>10157</v>
      </c>
      <c r="AB56" s="166">
        <f>'3. melléklet'!I55+'3. melléklet'!K55+'3. melléklet'!L55+'3. melléklet'!M55+'2. melléklet'!I55+'2. melléklet'!L55+'2. melléklet'!M55+'2. melléklet'!O55</f>
        <v>69022</v>
      </c>
      <c r="AC56" s="166">
        <f>SUM('2. melléklet'!BT55:BW55)</f>
        <v>0</v>
      </c>
      <c r="AD56" s="166"/>
      <c r="AE56" s="166"/>
      <c r="AF56" s="166"/>
      <c r="AG56" s="166"/>
      <c r="AH56" s="254">
        <f t="shared" si="50"/>
        <v>210412</v>
      </c>
      <c r="AI56" s="64" t="s">
        <v>335</v>
      </c>
      <c r="AJ56" s="158"/>
      <c r="AK56" s="159" t="s">
        <v>103</v>
      </c>
      <c r="AL56" s="163" t="s">
        <v>575</v>
      </c>
      <c r="AM56" s="164"/>
      <c r="AN56" s="163"/>
      <c r="AO56" s="163"/>
      <c r="AP56" s="165"/>
      <c r="AQ56" s="166"/>
      <c r="AR56" s="166">
        <f>'2. melléklet'!N55</f>
        <v>1433</v>
      </c>
      <c r="AS56" s="166"/>
      <c r="AT56" s="166"/>
      <c r="AU56" s="166"/>
      <c r="AV56" s="166"/>
      <c r="AW56" s="166"/>
      <c r="AX56" s="166"/>
      <c r="AY56" s="166"/>
      <c r="AZ56" s="64" t="s">
        <v>411</v>
      </c>
      <c r="BA56" s="158"/>
      <c r="BB56" s="159" t="s">
        <v>103</v>
      </c>
      <c r="BC56" s="163" t="s">
        <v>575</v>
      </c>
      <c r="BD56" s="164"/>
      <c r="BE56" s="163"/>
      <c r="BF56" s="163"/>
      <c r="BG56" s="163"/>
      <c r="BH56" s="58"/>
      <c r="BI56" s="257"/>
      <c r="BJ56" s="254">
        <f t="shared" si="48"/>
        <v>1433</v>
      </c>
      <c r="BK56" s="166">
        <f t="shared" si="49"/>
        <v>211845</v>
      </c>
    </row>
    <row r="57" spans="1:63" s="157" customFormat="1" ht="16.5" thickBot="1">
      <c r="A57" s="64" t="s">
        <v>77</v>
      </c>
      <c r="B57" s="158"/>
      <c r="C57" s="159" t="s">
        <v>104</v>
      </c>
      <c r="D57" s="163" t="s">
        <v>576</v>
      </c>
      <c r="E57" s="164"/>
      <c r="F57" s="163"/>
      <c r="G57" s="163"/>
      <c r="H57" s="165"/>
      <c r="I57" s="166">
        <f>'3. melléklet'!Z56+'2. melléklet'!BB56+'2. melléklet'!BC56++'2. melléklet'!DB56+'2. melléklet'!AM56</f>
        <v>2690</v>
      </c>
      <c r="J57" s="166">
        <f>'2. melléklet'!J56+'2. melléklet'!AN56+'2. melléklet'!AO56+'2. melléklet'!AP56+'2. melléklet'!BE56+'2. melléklet'!BF56+'2. melléklet'!BG56+'3. melléklet'!O56+'3. melléklet'!P56+'3. melléklet'!Y56+'4. melléklet'!I56</f>
        <v>457684</v>
      </c>
      <c r="K57" s="166"/>
      <c r="L57" s="166">
        <f>'2. melléklet'!AC56+'2. melléklet'!AQ56</f>
        <v>53240</v>
      </c>
      <c r="M57" s="207">
        <f>SUM('4. melléklet'!J56:L56)</f>
        <v>115562</v>
      </c>
      <c r="N57" s="207">
        <f>'4. melléklet'!N56</f>
        <v>66602</v>
      </c>
      <c r="O57" s="207">
        <f>'4. melléklet'!M56+'2. melléklet'!BR56+'2. melléklet'!BS56+'2. melléklet'!CK56+'2. melléklet'!CW56</f>
        <v>19118</v>
      </c>
      <c r="P57" s="166">
        <f>'2. melléklet'!K56+'3. melléklet'!J56+'2. melléklet'!CX56</f>
        <v>151837</v>
      </c>
      <c r="Q57" s="166"/>
      <c r="R57" s="64" t="s">
        <v>261</v>
      </c>
      <c r="S57" s="158"/>
      <c r="T57" s="159" t="s">
        <v>104</v>
      </c>
      <c r="U57" s="163" t="s">
        <v>576</v>
      </c>
      <c r="V57" s="164"/>
      <c r="W57" s="163"/>
      <c r="X57" s="163"/>
      <c r="Y57" s="165"/>
      <c r="Z57" s="166">
        <f>'2. melléklet'!BD56+'2. melléklet'!AR56</f>
        <v>37305</v>
      </c>
      <c r="AA57" s="207">
        <f>SUM('2. melléklet'!Z56:AB56)</f>
        <v>2066</v>
      </c>
      <c r="AB57" s="166">
        <f>'3. melléklet'!I56+'3. melléklet'!K56+'3. melléklet'!L56+'3. melléklet'!M56+'2. melléklet'!I56+'2. melléklet'!L56+'2. melléklet'!M56+'2. melléklet'!O56+'2. melléklet'!CJ56</f>
        <v>217766</v>
      </c>
      <c r="AC57" s="166">
        <f>SUM('2. melléklet'!BT56:BW56)</f>
        <v>2831</v>
      </c>
      <c r="AD57" s="166"/>
      <c r="AE57" s="166"/>
      <c r="AF57" s="166"/>
      <c r="AG57" s="166"/>
      <c r="AH57" s="254">
        <f t="shared" si="50"/>
        <v>1126701</v>
      </c>
      <c r="AI57" s="64" t="s">
        <v>336</v>
      </c>
      <c r="AJ57" s="158"/>
      <c r="AK57" s="159" t="s">
        <v>104</v>
      </c>
      <c r="AL57" s="163" t="s">
        <v>576</v>
      </c>
      <c r="AM57" s="164"/>
      <c r="AN57" s="163"/>
      <c r="AO57" s="163"/>
      <c r="AP57" s="165"/>
      <c r="AQ57" s="166"/>
      <c r="AR57" s="166">
        <f>'2. melléklet'!N56</f>
        <v>41791</v>
      </c>
      <c r="AS57" s="166"/>
      <c r="AT57" s="166"/>
      <c r="AU57" s="166"/>
      <c r="AV57" s="166"/>
      <c r="AW57" s="166"/>
      <c r="AX57" s="166"/>
      <c r="AY57" s="166"/>
      <c r="AZ57" s="64" t="s">
        <v>412</v>
      </c>
      <c r="BA57" s="158"/>
      <c r="BB57" s="159" t="s">
        <v>104</v>
      </c>
      <c r="BC57" s="163" t="s">
        <v>576</v>
      </c>
      <c r="BD57" s="164"/>
      <c r="BE57" s="163"/>
      <c r="BF57" s="163"/>
      <c r="BG57" s="163"/>
      <c r="BH57" s="58"/>
      <c r="BI57" s="257"/>
      <c r="BJ57" s="254">
        <f t="shared" si="48"/>
        <v>41791</v>
      </c>
      <c r="BK57" s="166">
        <f t="shared" si="49"/>
        <v>1168492</v>
      </c>
    </row>
    <row r="58" spans="1:63" s="157" customFormat="1" ht="16.5" thickBot="1">
      <c r="A58" s="64" t="s">
        <v>78</v>
      </c>
      <c r="B58" s="158"/>
      <c r="C58" s="159" t="s">
        <v>106</v>
      </c>
      <c r="D58" s="167" t="s">
        <v>596</v>
      </c>
      <c r="E58" s="168"/>
      <c r="F58" s="168"/>
      <c r="G58" s="167"/>
      <c r="H58" s="169"/>
      <c r="I58" s="187">
        <f>'3. melléklet'!Z57+'2. melléklet'!BB57+'2. melléklet'!BC57++'2. melléklet'!DB57+'2. melléklet'!AM57</f>
        <v>0</v>
      </c>
      <c r="J58" s="187">
        <f>'2. melléklet'!J57+'2. melléklet'!AN57+'2. melléklet'!AO57+'2. melléklet'!AP57+'2. melléklet'!BE57+'2. melléklet'!BF57+'2. melléklet'!BG57+'3. melléklet'!O57+'3. melléklet'!P57+'3. melléklet'!Y57+'4. melléklet'!I57</f>
        <v>0</v>
      </c>
      <c r="K58" s="187"/>
      <c r="L58" s="187">
        <f>'2. melléklet'!AC57+'2. melléklet'!AQ57</f>
        <v>0</v>
      </c>
      <c r="M58" s="207">
        <f>SUM('4. melléklet'!J57:L57)</f>
        <v>0</v>
      </c>
      <c r="N58" s="207">
        <f>'4. melléklet'!N57</f>
        <v>0</v>
      </c>
      <c r="O58" s="207">
        <f>'4. melléklet'!M57+'2. melléklet'!BR57+'2. melléklet'!BS57+'2. melléklet'!CK57+'2. melléklet'!CW57-2822</f>
        <v>0</v>
      </c>
      <c r="P58" s="187">
        <f>'2. melléklet'!K57+'3. melléklet'!J57</f>
        <v>0</v>
      </c>
      <c r="Q58" s="187"/>
      <c r="R58" s="64" t="s">
        <v>262</v>
      </c>
      <c r="S58" s="158"/>
      <c r="T58" s="159" t="s">
        <v>106</v>
      </c>
      <c r="U58" s="167" t="s">
        <v>596</v>
      </c>
      <c r="V58" s="168"/>
      <c r="W58" s="168"/>
      <c r="X58" s="167"/>
      <c r="Y58" s="169"/>
      <c r="Z58" s="187">
        <f>'2. melléklet'!BD57+'2. melléklet'!AR57</f>
        <v>0</v>
      </c>
      <c r="AA58" s="207">
        <f>SUM('2. melléklet'!Z57:AB57)</f>
        <v>0</v>
      </c>
      <c r="AB58" s="187">
        <f>'3. melléklet'!I57+'3. melléklet'!K57+'3. melléklet'!L57+'3. melléklet'!M57+'2. melléklet'!I57+'2. melléklet'!L57+'2. melléklet'!M57+'2. melléklet'!O57</f>
        <v>0</v>
      </c>
      <c r="AC58" s="187">
        <f>SUM('2. melléklet'!BT57:BW57)</f>
        <v>0</v>
      </c>
      <c r="AD58" s="187"/>
      <c r="AE58" s="187">
        <f>'3. melléklet'!AB57</f>
        <v>52839</v>
      </c>
      <c r="AF58" s="187">
        <f>15840+5700+60+50</f>
        <v>21650</v>
      </c>
      <c r="AG58" s="187">
        <v>3596</v>
      </c>
      <c r="AH58" s="254">
        <f t="shared" si="50"/>
        <v>78085</v>
      </c>
      <c r="AI58" s="64" t="s">
        <v>337</v>
      </c>
      <c r="AJ58" s="158"/>
      <c r="AK58" s="159" t="s">
        <v>106</v>
      </c>
      <c r="AL58" s="167" t="s">
        <v>596</v>
      </c>
      <c r="AM58" s="168"/>
      <c r="AN58" s="168"/>
      <c r="AO58" s="167"/>
      <c r="AP58" s="169"/>
      <c r="AQ58" s="187"/>
      <c r="AR58" s="187">
        <f>'2. melléklet'!N57</f>
        <v>0</v>
      </c>
      <c r="AS58" s="187"/>
      <c r="AT58" s="187">
        <f>2822+5200</f>
        <v>8022</v>
      </c>
      <c r="AU58" s="187"/>
      <c r="AV58" s="187"/>
      <c r="AW58" s="187">
        <f>'2. melléklet'!CY57</f>
        <v>3000</v>
      </c>
      <c r="AX58" s="187">
        <f>'2. melléklet'!CU57</f>
        <v>2792</v>
      </c>
      <c r="AY58" s="187">
        <v>6230</v>
      </c>
      <c r="AZ58" s="64" t="s">
        <v>413</v>
      </c>
      <c r="BA58" s="158"/>
      <c r="BB58" s="159" t="s">
        <v>106</v>
      </c>
      <c r="BC58" s="167" t="s">
        <v>596</v>
      </c>
      <c r="BD58" s="168"/>
      <c r="BE58" s="168"/>
      <c r="BF58" s="167"/>
      <c r="BG58" s="167"/>
      <c r="BH58" s="59">
        <v>8000</v>
      </c>
      <c r="BI58" s="252">
        <v>450</v>
      </c>
      <c r="BJ58" s="254">
        <f t="shared" si="48"/>
        <v>28494</v>
      </c>
      <c r="BK58" s="187">
        <f t="shared" si="49"/>
        <v>106579</v>
      </c>
    </row>
    <row r="59" spans="1:63" s="157" customFormat="1" ht="16.5" thickBot="1">
      <c r="A59" s="64" t="s">
        <v>80</v>
      </c>
      <c r="B59" s="158"/>
      <c r="C59" s="159" t="s">
        <v>105</v>
      </c>
      <c r="D59" s="163" t="s">
        <v>577</v>
      </c>
      <c r="E59" s="164"/>
      <c r="F59" s="163"/>
      <c r="G59" s="163"/>
      <c r="H59" s="165"/>
      <c r="I59" s="166">
        <f>SUM(I60:I64)</f>
        <v>0</v>
      </c>
      <c r="J59" s="166">
        <f aca="true" t="shared" si="51" ref="J59:P59">SUM(J60:J64)</f>
        <v>25842</v>
      </c>
      <c r="K59" s="166">
        <f t="shared" si="51"/>
        <v>10192</v>
      </c>
      <c r="L59" s="166">
        <f t="shared" si="51"/>
        <v>1500</v>
      </c>
      <c r="M59" s="166">
        <f t="shared" si="51"/>
        <v>13545</v>
      </c>
      <c r="N59" s="166">
        <f t="shared" si="51"/>
        <v>8028</v>
      </c>
      <c r="O59" s="166">
        <f t="shared" si="51"/>
        <v>128024</v>
      </c>
      <c r="P59" s="166">
        <f t="shared" si="51"/>
        <v>0</v>
      </c>
      <c r="Q59" s="166">
        <f>SUM(Q60:Q64)</f>
        <v>25869</v>
      </c>
      <c r="R59" s="64" t="s">
        <v>263</v>
      </c>
      <c r="S59" s="158"/>
      <c r="T59" s="159" t="s">
        <v>105</v>
      </c>
      <c r="U59" s="163" t="s">
        <v>577</v>
      </c>
      <c r="V59" s="164"/>
      <c r="W59" s="163"/>
      <c r="X59" s="163"/>
      <c r="Y59" s="165"/>
      <c r="Z59" s="166">
        <f>SUM(Z60:Z64)</f>
        <v>0</v>
      </c>
      <c r="AA59" s="166">
        <f>SUM(AA60:AA64)</f>
        <v>0</v>
      </c>
      <c r="AB59" s="166">
        <f aca="true" t="shared" si="52" ref="AB59:AG59">SUM(AB60:AB64)</f>
        <v>424456</v>
      </c>
      <c r="AC59" s="166">
        <f t="shared" si="52"/>
        <v>0</v>
      </c>
      <c r="AD59" s="166">
        <f>SUM(AD60:AD64)</f>
        <v>31966</v>
      </c>
      <c r="AE59" s="166">
        <f>SUM(AE60:AE64)</f>
        <v>0</v>
      </c>
      <c r="AF59" s="166">
        <f>SUM(AF60:AF64)</f>
        <v>0</v>
      </c>
      <c r="AG59" s="166">
        <f t="shared" si="52"/>
        <v>0</v>
      </c>
      <c r="AH59" s="254">
        <f t="shared" si="50"/>
        <v>669422</v>
      </c>
      <c r="AI59" s="64" t="s">
        <v>338</v>
      </c>
      <c r="AJ59" s="158"/>
      <c r="AK59" s="159" t="s">
        <v>105</v>
      </c>
      <c r="AL59" s="163" t="s">
        <v>577</v>
      </c>
      <c r="AM59" s="164"/>
      <c r="AN59" s="163"/>
      <c r="AO59" s="163"/>
      <c r="AP59" s="165"/>
      <c r="AQ59" s="166">
        <f aca="true" t="shared" si="53" ref="AQ59:AY59">SUM(AQ60:AQ64)</f>
        <v>80882</v>
      </c>
      <c r="AR59" s="166">
        <f t="shared" si="53"/>
        <v>0</v>
      </c>
      <c r="AS59" s="166">
        <f t="shared" si="53"/>
        <v>67264</v>
      </c>
      <c r="AT59" s="166">
        <f t="shared" si="53"/>
        <v>1300</v>
      </c>
      <c r="AU59" s="166">
        <f t="shared" si="53"/>
        <v>0</v>
      </c>
      <c r="AV59" s="166">
        <f t="shared" si="53"/>
        <v>10556</v>
      </c>
      <c r="AW59" s="166">
        <f t="shared" si="53"/>
        <v>0</v>
      </c>
      <c r="AX59" s="166">
        <f t="shared" si="53"/>
        <v>0</v>
      </c>
      <c r="AY59" s="166">
        <f t="shared" si="53"/>
        <v>0</v>
      </c>
      <c r="AZ59" s="64" t="s">
        <v>414</v>
      </c>
      <c r="BA59" s="158"/>
      <c r="BB59" s="159" t="s">
        <v>105</v>
      </c>
      <c r="BC59" s="163" t="s">
        <v>577</v>
      </c>
      <c r="BD59" s="164"/>
      <c r="BE59" s="163"/>
      <c r="BF59" s="163"/>
      <c r="BG59" s="163"/>
      <c r="BH59" s="58">
        <f>SUM(BH60:BH64)</f>
        <v>0</v>
      </c>
      <c r="BI59" s="257">
        <f>SUM(BI60:BI64)</f>
        <v>0</v>
      </c>
      <c r="BJ59" s="254">
        <f t="shared" si="48"/>
        <v>160002</v>
      </c>
      <c r="BK59" s="166">
        <f t="shared" si="49"/>
        <v>829424</v>
      </c>
    </row>
    <row r="60" spans="1:63" s="62" customFormat="1" ht="15" thickBot="1">
      <c r="A60" s="64" t="s">
        <v>81</v>
      </c>
      <c r="B60" s="121"/>
      <c r="C60" s="122"/>
      <c r="D60" s="123" t="s">
        <v>710</v>
      </c>
      <c r="E60" s="124" t="s">
        <v>708</v>
      </c>
      <c r="F60" s="124"/>
      <c r="G60" s="124"/>
      <c r="H60" s="125"/>
      <c r="I60" s="108">
        <f>'3. melléklet'!Z59+'2. melléklet'!BB59+'2. melléklet'!BC59++'2. melléklet'!DB59+'2. melléklet'!AM59</f>
        <v>0</v>
      </c>
      <c r="J60" s="206">
        <f>'2. melléklet'!J59+'2. melléklet'!AN59+'2. melléklet'!AO59+'2. melléklet'!AP59+'2. melléklet'!BE59+'2. melléklet'!BF59+'2. melléklet'!BG59+'3. melléklet'!O59+'3. melléklet'!P59+'3. melléklet'!Y59+'4. melléklet'!I59</f>
        <v>25842</v>
      </c>
      <c r="K60" s="102">
        <v>10192</v>
      </c>
      <c r="L60" s="206">
        <f>'2. melléklet'!AC59+'2. melléklet'!AQ59</f>
        <v>1500</v>
      </c>
      <c r="M60" s="206">
        <f>SUM('4. melléklet'!J59:L59)</f>
        <v>13545</v>
      </c>
      <c r="N60" s="206">
        <f>'4. melléklet'!N59</f>
        <v>8028</v>
      </c>
      <c r="O60" s="206">
        <f>'4. melléklet'!M59+'2. melléklet'!BR59+'2. melléklet'!BS59+'2. melléklet'!CK59+'2. melléklet'!CW59+123193-1000+1698</f>
        <v>128024</v>
      </c>
      <c r="P60" s="206">
        <f>'2. melléklet'!K59+'3. melléklet'!J59</f>
        <v>0</v>
      </c>
      <c r="Q60" s="102">
        <v>25869</v>
      </c>
      <c r="R60" s="64" t="s">
        <v>264</v>
      </c>
      <c r="S60" s="121"/>
      <c r="T60" s="122"/>
      <c r="U60" s="123" t="s">
        <v>710</v>
      </c>
      <c r="V60" s="124" t="s">
        <v>708</v>
      </c>
      <c r="W60" s="124"/>
      <c r="X60" s="124"/>
      <c r="Y60" s="125"/>
      <c r="Z60" s="206">
        <f>'2. melléklet'!BD59+'2. melléklet'!AR59</f>
        <v>0</v>
      </c>
      <c r="AA60" s="206">
        <f>SUM('2. melléklet'!Z59:AB59)</f>
        <v>0</v>
      </c>
      <c r="AB60" s="206">
        <f>'3. melléklet'!I59+'3. melléklet'!K59+'3. melléklet'!L59+'3. melléklet'!M59+'2. melléklet'!I59+'2. melléklet'!L59+'2. melléklet'!M59+'2. melléklet'!O59+'2. melléklet'!Y59-Q60-O60-K60+'3. melléklet'!N59+3133</f>
        <v>375630</v>
      </c>
      <c r="AC60" s="206">
        <f>SUM('2. melléklet'!BT59:BW59)-300</f>
        <v>0</v>
      </c>
      <c r="AD60" s="102"/>
      <c r="AE60" s="102"/>
      <c r="AF60" s="102"/>
      <c r="AG60" s="102"/>
      <c r="AH60" s="254">
        <f>SUM(I60:Q60,Z60:AG60)</f>
        <v>588630</v>
      </c>
      <c r="AI60" s="64" t="s">
        <v>339</v>
      </c>
      <c r="AJ60" s="121"/>
      <c r="AK60" s="122"/>
      <c r="AL60" s="123" t="s">
        <v>710</v>
      </c>
      <c r="AM60" s="124" t="s">
        <v>708</v>
      </c>
      <c r="AN60" s="124"/>
      <c r="AO60" s="124"/>
      <c r="AP60" s="125"/>
      <c r="AQ60" s="102"/>
      <c r="AR60" s="206">
        <f>'2. melléklet'!N59</f>
        <v>0</v>
      </c>
      <c r="AS60" s="102"/>
      <c r="AT60" s="102">
        <f>1000+300</f>
        <v>1300</v>
      </c>
      <c r="AU60" s="102"/>
      <c r="AV60" s="102"/>
      <c r="AW60" s="102"/>
      <c r="AX60" s="102"/>
      <c r="AY60" s="102"/>
      <c r="AZ60" s="64" t="s">
        <v>415</v>
      </c>
      <c r="BA60" s="121"/>
      <c r="BB60" s="122"/>
      <c r="BC60" s="123" t="s">
        <v>710</v>
      </c>
      <c r="BD60" s="124" t="s">
        <v>708</v>
      </c>
      <c r="BE60" s="124"/>
      <c r="BF60" s="124"/>
      <c r="BG60" s="124"/>
      <c r="BH60" s="102"/>
      <c r="BI60" s="251"/>
      <c r="BJ60" s="254">
        <f t="shared" si="48"/>
        <v>1300</v>
      </c>
      <c r="BK60" s="102">
        <f>SUM(AH60,BJ60)</f>
        <v>589930</v>
      </c>
    </row>
    <row r="61" spans="1:63" s="62" customFormat="1" ht="15" thickBot="1">
      <c r="A61" s="64" t="s">
        <v>164</v>
      </c>
      <c r="B61" s="121"/>
      <c r="C61" s="122"/>
      <c r="D61" s="123" t="s">
        <v>701</v>
      </c>
      <c r="E61" s="124" t="s">
        <v>707</v>
      </c>
      <c r="F61" s="63"/>
      <c r="G61" s="124"/>
      <c r="H61" s="125"/>
      <c r="I61" s="108">
        <f>'3. melléklet'!Z60+'2. melléklet'!BB60+'2. melléklet'!BC60++'2. melléklet'!DB60+'2. melléklet'!AM60</f>
        <v>0</v>
      </c>
      <c r="J61" s="206">
        <f>'2. melléklet'!J60+'2. melléklet'!AN60+'2. melléklet'!AO60+'2. melléklet'!AP60+'2. melléklet'!BE60+'2. melléklet'!BF60+'2. melléklet'!BG60+'3. melléklet'!O60+'3. melléklet'!P60+'3. melléklet'!Y60+'4. melléklet'!I60</f>
        <v>0</v>
      </c>
      <c r="K61" s="102"/>
      <c r="L61" s="206">
        <f>'2. melléklet'!AC60+'2. melléklet'!AQ60</f>
        <v>0</v>
      </c>
      <c r="M61" s="206">
        <f>SUM('4. melléklet'!J60:L60)</f>
        <v>0</v>
      </c>
      <c r="N61" s="206">
        <f>'4. melléklet'!N60</f>
        <v>0</v>
      </c>
      <c r="O61" s="206">
        <f>'4. melléklet'!M60+'2. melléklet'!BR60+'2. melléklet'!BS60+'2. melléklet'!CK60+'2. melléklet'!CW60</f>
        <v>0</v>
      </c>
      <c r="P61" s="206">
        <f>'2. melléklet'!K60+'3. melléklet'!J60</f>
        <v>0</v>
      </c>
      <c r="Q61" s="102"/>
      <c r="R61" s="64" t="s">
        <v>265</v>
      </c>
      <c r="S61" s="121"/>
      <c r="T61" s="122"/>
      <c r="U61" s="123" t="s">
        <v>701</v>
      </c>
      <c r="V61" s="124" t="s">
        <v>707</v>
      </c>
      <c r="W61" s="63"/>
      <c r="X61" s="124"/>
      <c r="Y61" s="125"/>
      <c r="Z61" s="206">
        <f>'2. melléklet'!BD60+'2. melléklet'!AR60</f>
        <v>0</v>
      </c>
      <c r="AA61" s="206">
        <f>SUM('2. melléklet'!Z60:AB60)</f>
        <v>0</v>
      </c>
      <c r="AB61" s="206">
        <f>'3. melléklet'!I60+'3. melléklet'!K60+'3. melléklet'!L60+'3. melléklet'!M60+'2. melléklet'!I60+'2. melléklet'!L60+'2. melléklet'!M60+'2. melléklet'!O60</f>
        <v>5000</v>
      </c>
      <c r="AC61" s="206">
        <f>SUM('2. melléklet'!BT60:BW60)</f>
        <v>0</v>
      </c>
      <c r="AD61" s="102"/>
      <c r="AE61" s="102"/>
      <c r="AF61" s="102"/>
      <c r="AG61" s="102"/>
      <c r="AH61" s="254">
        <f t="shared" si="50"/>
        <v>5000</v>
      </c>
      <c r="AI61" s="64" t="s">
        <v>340</v>
      </c>
      <c r="AJ61" s="121"/>
      <c r="AK61" s="122"/>
      <c r="AL61" s="123" t="s">
        <v>701</v>
      </c>
      <c r="AM61" s="124" t="s">
        <v>707</v>
      </c>
      <c r="AN61" s="63"/>
      <c r="AO61" s="124"/>
      <c r="AP61" s="125"/>
      <c r="AQ61" s="102"/>
      <c r="AR61" s="206">
        <f>'2. melléklet'!N60</f>
        <v>0</v>
      </c>
      <c r="AS61" s="102"/>
      <c r="AT61" s="102"/>
      <c r="AU61" s="102"/>
      <c r="AV61" s="102"/>
      <c r="AW61" s="102"/>
      <c r="AX61" s="102"/>
      <c r="AY61" s="102"/>
      <c r="AZ61" s="64" t="s">
        <v>416</v>
      </c>
      <c r="BA61" s="121"/>
      <c r="BB61" s="122"/>
      <c r="BC61" s="123" t="s">
        <v>701</v>
      </c>
      <c r="BD61" s="124" t="s">
        <v>707</v>
      </c>
      <c r="BE61" s="63"/>
      <c r="BF61" s="124"/>
      <c r="BG61" s="124"/>
      <c r="BH61" s="102"/>
      <c r="BI61" s="251"/>
      <c r="BJ61" s="254">
        <f t="shared" si="48"/>
        <v>0</v>
      </c>
      <c r="BK61" s="102">
        <f t="shared" si="49"/>
        <v>5000</v>
      </c>
    </row>
    <row r="62" spans="1:63" s="62" customFormat="1" ht="15" thickBot="1">
      <c r="A62" s="64" t="s">
        <v>165</v>
      </c>
      <c r="B62" s="121"/>
      <c r="C62" s="122"/>
      <c r="D62" s="123" t="s">
        <v>702</v>
      </c>
      <c r="E62" s="126" t="s">
        <v>711</v>
      </c>
      <c r="F62" s="101"/>
      <c r="G62" s="126"/>
      <c r="H62" s="127"/>
      <c r="I62" s="108">
        <f>'3. melléklet'!Z61+'2. melléklet'!BB61+'2. melléklet'!BC61++'2. melléklet'!DB61+'2. melléklet'!AM61</f>
        <v>0</v>
      </c>
      <c r="J62" s="206">
        <f>'2. melléklet'!J61+'2. melléklet'!AN61+'2. melléklet'!AO61+'2. melléklet'!AP61+'2. melléklet'!BE61+'2. melléklet'!BF61+'2. melléklet'!BG61+'3. melléklet'!O61+'3. melléklet'!P61+'3. melléklet'!Y61+'4. melléklet'!I61</f>
        <v>0</v>
      </c>
      <c r="K62" s="103"/>
      <c r="L62" s="206">
        <f>'2. melléklet'!AC61+'2. melléklet'!AQ61</f>
        <v>0</v>
      </c>
      <c r="M62" s="206">
        <f>SUM('4. melléklet'!J61:L61)</f>
        <v>0</v>
      </c>
      <c r="N62" s="206">
        <f>'4. melléklet'!N61</f>
        <v>0</v>
      </c>
      <c r="O62" s="206">
        <f>'4. melléklet'!M61+'2. melléklet'!BR61+'2. melléklet'!BS61+'2. melléklet'!CK61+'2. melléklet'!CW61</f>
        <v>0</v>
      </c>
      <c r="P62" s="206">
        <f>'2. melléklet'!K61+'3. melléklet'!J61</f>
        <v>0</v>
      </c>
      <c r="Q62" s="103"/>
      <c r="R62" s="64" t="s">
        <v>266</v>
      </c>
      <c r="S62" s="121"/>
      <c r="T62" s="122"/>
      <c r="U62" s="123" t="s">
        <v>702</v>
      </c>
      <c r="V62" s="126" t="s">
        <v>711</v>
      </c>
      <c r="W62" s="101"/>
      <c r="X62" s="126"/>
      <c r="Y62" s="127"/>
      <c r="Z62" s="206">
        <f>'2. melléklet'!BD61+'2. melléklet'!AR61</f>
        <v>0</v>
      </c>
      <c r="AA62" s="206">
        <f>SUM('2. melléklet'!Z61:AB61)</f>
        <v>0</v>
      </c>
      <c r="AB62" s="206">
        <f>'3. melléklet'!I61+'3. melléklet'!K61+'3. melléklet'!L61+'3. melléklet'!M61+'2. melléklet'!I61+'2. melléklet'!L61+'2. melléklet'!M61+'2. melléklet'!O61</f>
        <v>13500</v>
      </c>
      <c r="AC62" s="206">
        <v>0</v>
      </c>
      <c r="AD62" s="103">
        <f>'2. melléklet'!AD61</f>
        <v>31966</v>
      </c>
      <c r="AE62" s="103"/>
      <c r="AF62" s="103"/>
      <c r="AG62" s="103"/>
      <c r="AH62" s="254">
        <f t="shared" si="50"/>
        <v>45466</v>
      </c>
      <c r="AI62" s="64" t="s">
        <v>341</v>
      </c>
      <c r="AJ62" s="121"/>
      <c r="AK62" s="122"/>
      <c r="AL62" s="123" t="s">
        <v>702</v>
      </c>
      <c r="AM62" s="126" t="s">
        <v>711</v>
      </c>
      <c r="AN62" s="101"/>
      <c r="AO62" s="126"/>
      <c r="AP62" s="127"/>
      <c r="AQ62" s="103">
        <f>'2. melléklet'!BW61+'2. melléklet'!CF61</f>
        <v>80882</v>
      </c>
      <c r="AR62" s="206">
        <f>'2. melléklet'!N61</f>
        <v>0</v>
      </c>
      <c r="AS62" s="103">
        <f>'2. melléklet'!BH61+'2. melléklet'!BQ61+'2. melléklet'!BU61+'2. melléklet'!CG61+'2. melléklet'!CH61+'2. melléklet'!CI61-AV62+'2. melléklet'!CZ61</f>
        <v>67264</v>
      </c>
      <c r="AT62" s="103"/>
      <c r="AU62" s="103"/>
      <c r="AV62" s="103">
        <v>10556</v>
      </c>
      <c r="AW62" s="103"/>
      <c r="AX62" s="103"/>
      <c r="AY62" s="103"/>
      <c r="AZ62" s="64" t="s">
        <v>417</v>
      </c>
      <c r="BA62" s="121"/>
      <c r="BB62" s="122"/>
      <c r="BC62" s="123" t="s">
        <v>702</v>
      </c>
      <c r="BD62" s="126" t="s">
        <v>711</v>
      </c>
      <c r="BE62" s="101"/>
      <c r="BF62" s="126"/>
      <c r="BG62" s="126"/>
      <c r="BH62" s="103"/>
      <c r="BI62" s="258"/>
      <c r="BJ62" s="254">
        <f t="shared" si="48"/>
        <v>158702</v>
      </c>
      <c r="BK62" s="103">
        <f t="shared" si="49"/>
        <v>204168</v>
      </c>
    </row>
    <row r="63" spans="1:63" s="62" customFormat="1" ht="15" thickBot="1">
      <c r="A63" s="64" t="s">
        <v>166</v>
      </c>
      <c r="B63" s="121"/>
      <c r="C63" s="122"/>
      <c r="D63" s="123" t="s">
        <v>705</v>
      </c>
      <c r="E63" s="124" t="s">
        <v>709</v>
      </c>
      <c r="F63" s="63"/>
      <c r="G63" s="124"/>
      <c r="H63" s="125"/>
      <c r="I63" s="108">
        <f>'3. melléklet'!Z62+'2. melléklet'!BB62+'2. melléklet'!BC62++'2. melléklet'!DB62+'2. melléklet'!AM62-AB63</f>
        <v>0</v>
      </c>
      <c r="J63" s="206">
        <f>'2. melléklet'!J62+'2. melléklet'!AN62+'2. melléklet'!AO62+'2. melléklet'!AP62+'2. melléklet'!BE62+'2. melléklet'!BF62+'2. melléklet'!BG62+'3. melléklet'!O62+'3. melléklet'!P62+'3. melléklet'!Y62+'4. melléklet'!I62</f>
        <v>0</v>
      </c>
      <c r="K63" s="102"/>
      <c r="L63" s="206">
        <f>'2. melléklet'!AC62+'2. melléklet'!AQ62</f>
        <v>0</v>
      </c>
      <c r="M63" s="206">
        <f>SUM('4. melléklet'!J62:L62)</f>
        <v>0</v>
      </c>
      <c r="N63" s="206">
        <f>'4. melléklet'!N62</f>
        <v>0</v>
      </c>
      <c r="O63" s="206">
        <f>'4. melléklet'!M62+'2. melléklet'!BR62+'2. melléklet'!BS62+'2. melléklet'!CK62+'2. melléklet'!CW62</f>
        <v>0</v>
      </c>
      <c r="P63" s="206">
        <f>'2. melléklet'!K62+'3. melléklet'!J62</f>
        <v>0</v>
      </c>
      <c r="Q63" s="102"/>
      <c r="R63" s="64" t="s">
        <v>267</v>
      </c>
      <c r="S63" s="121"/>
      <c r="T63" s="122"/>
      <c r="U63" s="123" t="s">
        <v>705</v>
      </c>
      <c r="V63" s="124" t="s">
        <v>709</v>
      </c>
      <c r="W63" s="63"/>
      <c r="X63" s="124"/>
      <c r="Y63" s="125"/>
      <c r="Z63" s="206">
        <f>'2. melléklet'!BD62+'2. melléklet'!AR62</f>
        <v>0</v>
      </c>
      <c r="AA63" s="206">
        <f>SUM('2. melléklet'!Z62:AB62)</f>
        <v>0</v>
      </c>
      <c r="AB63" s="206">
        <f>'3. melléklet'!I62+'3. melléklet'!K62+'3. melléklet'!L62+'3. melléklet'!M62+'2. melléklet'!I62+'2. melléklet'!L62+'2. melléklet'!M62+'2. melléklet'!O62+'2. melléklet'!DB62</f>
        <v>14768</v>
      </c>
      <c r="AC63" s="206">
        <f>SUM('2. melléklet'!BT62:BW62)</f>
        <v>0</v>
      </c>
      <c r="AD63" s="102"/>
      <c r="AE63" s="102"/>
      <c r="AF63" s="102"/>
      <c r="AG63" s="102"/>
      <c r="AH63" s="254">
        <f t="shared" si="50"/>
        <v>14768</v>
      </c>
      <c r="AI63" s="64" t="s">
        <v>342</v>
      </c>
      <c r="AJ63" s="121"/>
      <c r="AK63" s="122"/>
      <c r="AL63" s="123" t="s">
        <v>705</v>
      </c>
      <c r="AM63" s="124" t="s">
        <v>709</v>
      </c>
      <c r="AN63" s="63"/>
      <c r="AO63" s="124"/>
      <c r="AP63" s="125"/>
      <c r="AQ63" s="102"/>
      <c r="AR63" s="206">
        <f>'2. melléklet'!N62</f>
        <v>0</v>
      </c>
      <c r="AS63" s="102"/>
      <c r="AT63" s="102"/>
      <c r="AU63" s="102"/>
      <c r="AV63" s="102"/>
      <c r="AW63" s="102"/>
      <c r="AX63" s="102"/>
      <c r="AY63" s="102"/>
      <c r="AZ63" s="64" t="s">
        <v>418</v>
      </c>
      <c r="BA63" s="121"/>
      <c r="BB63" s="122"/>
      <c r="BC63" s="123" t="s">
        <v>705</v>
      </c>
      <c r="BD63" s="124" t="s">
        <v>709</v>
      </c>
      <c r="BE63" s="63"/>
      <c r="BF63" s="124"/>
      <c r="BG63" s="124"/>
      <c r="BH63" s="102"/>
      <c r="BI63" s="251"/>
      <c r="BJ63" s="254">
        <f t="shared" si="48"/>
        <v>0</v>
      </c>
      <c r="BK63" s="102">
        <f t="shared" si="49"/>
        <v>14768</v>
      </c>
    </row>
    <row r="64" spans="1:63" s="62" customFormat="1" ht="15" thickBot="1">
      <c r="A64" s="64" t="s">
        <v>167</v>
      </c>
      <c r="B64" s="121"/>
      <c r="C64" s="122"/>
      <c r="D64" s="123" t="s">
        <v>706</v>
      </c>
      <c r="E64" s="124" t="s">
        <v>117</v>
      </c>
      <c r="F64" s="63"/>
      <c r="G64" s="124"/>
      <c r="H64" s="125"/>
      <c r="I64" s="108">
        <f>'3. melléklet'!Z63+'2. melléklet'!BB63+'2. melléklet'!BC63++'2. melléklet'!DB63+'2. melléklet'!AM63-AB64</f>
        <v>0</v>
      </c>
      <c r="J64" s="206">
        <f>'2. melléklet'!J63+'2. melléklet'!AN63+'2. melléklet'!AO63+'2. melléklet'!AP63+'2. melléklet'!BE63+'2. melléklet'!BF63+'2. melléklet'!BG63+'3. melléklet'!O63+'3. melléklet'!P63+'3. melléklet'!Y63+'4. melléklet'!I63</f>
        <v>0</v>
      </c>
      <c r="K64" s="102"/>
      <c r="L64" s="206">
        <f>'2. melléklet'!AC63+'2. melléklet'!AQ63</f>
        <v>0</v>
      </c>
      <c r="M64" s="206">
        <f>SUM('4. melléklet'!J63:L63)</f>
        <v>0</v>
      </c>
      <c r="N64" s="206">
        <f>'4. melléklet'!N63</f>
        <v>0</v>
      </c>
      <c r="O64" s="206">
        <f>'4. melléklet'!M63+'2. melléklet'!BR63+'2. melléklet'!BS63+'2. melléklet'!CK63+'2. melléklet'!CW63</f>
        <v>0</v>
      </c>
      <c r="P64" s="206">
        <f>'2. melléklet'!K63+'3. melléklet'!J63</f>
        <v>0</v>
      </c>
      <c r="Q64" s="102"/>
      <c r="R64" s="64" t="s">
        <v>268</v>
      </c>
      <c r="S64" s="121"/>
      <c r="T64" s="122"/>
      <c r="U64" s="123" t="s">
        <v>706</v>
      </c>
      <c r="V64" s="124" t="s">
        <v>117</v>
      </c>
      <c r="W64" s="63"/>
      <c r="X64" s="124"/>
      <c r="Y64" s="125"/>
      <c r="Z64" s="206">
        <f>'2. melléklet'!BD63+'2. melléklet'!AR63</f>
        <v>0</v>
      </c>
      <c r="AA64" s="206">
        <f>SUM('2. melléklet'!Z63:AB63)</f>
        <v>0</v>
      </c>
      <c r="AB64" s="206">
        <f>'3. melléklet'!I63+'3. melléklet'!K63+'3. melléklet'!L63+'3. melléklet'!M63+'2. melléklet'!I63+'2. melléklet'!L63+'2. melléklet'!M63+'2. melléklet'!O63+'2. melléklet'!DB63</f>
        <v>15558</v>
      </c>
      <c r="AC64" s="206">
        <f>SUM('2. melléklet'!BT63:BW63)</f>
        <v>0</v>
      </c>
      <c r="AD64" s="102"/>
      <c r="AE64" s="102"/>
      <c r="AF64" s="102"/>
      <c r="AG64" s="102"/>
      <c r="AH64" s="254">
        <f t="shared" si="50"/>
        <v>15558</v>
      </c>
      <c r="AI64" s="64" t="s">
        <v>343</v>
      </c>
      <c r="AJ64" s="121"/>
      <c r="AK64" s="122"/>
      <c r="AL64" s="123" t="s">
        <v>706</v>
      </c>
      <c r="AM64" s="124" t="s">
        <v>117</v>
      </c>
      <c r="AN64" s="63"/>
      <c r="AO64" s="124"/>
      <c r="AP64" s="125"/>
      <c r="AQ64" s="102"/>
      <c r="AR64" s="206">
        <f>'2. melléklet'!N63</f>
        <v>0</v>
      </c>
      <c r="AS64" s="102"/>
      <c r="AT64" s="102"/>
      <c r="AU64" s="102"/>
      <c r="AV64" s="102"/>
      <c r="AW64" s="102"/>
      <c r="AX64" s="102"/>
      <c r="AY64" s="102"/>
      <c r="AZ64" s="64" t="s">
        <v>419</v>
      </c>
      <c r="BA64" s="121"/>
      <c r="BB64" s="122"/>
      <c r="BC64" s="123" t="s">
        <v>706</v>
      </c>
      <c r="BD64" s="124" t="s">
        <v>117</v>
      </c>
      <c r="BE64" s="63"/>
      <c r="BF64" s="124"/>
      <c r="BG64" s="124"/>
      <c r="BH64" s="102"/>
      <c r="BI64" s="251"/>
      <c r="BJ64" s="254">
        <f t="shared" si="48"/>
        <v>0</v>
      </c>
      <c r="BK64" s="102">
        <f t="shared" si="49"/>
        <v>15558</v>
      </c>
    </row>
    <row r="65" spans="1:63" s="157" customFormat="1" ht="16.5" thickBot="1">
      <c r="A65" s="64" t="s">
        <v>168</v>
      </c>
      <c r="B65" s="154" t="s">
        <v>107</v>
      </c>
      <c r="C65" s="155" t="s">
        <v>116</v>
      </c>
      <c r="D65" s="170"/>
      <c r="E65" s="170"/>
      <c r="F65" s="155"/>
      <c r="G65" s="155"/>
      <c r="H65" s="155"/>
      <c r="I65" s="156">
        <f>SUM(I66:I68)</f>
        <v>1126495</v>
      </c>
      <c r="J65" s="156">
        <f aca="true" t="shared" si="54" ref="J65:Q65">SUM(J66:J68)</f>
        <v>56134</v>
      </c>
      <c r="K65" s="156">
        <f t="shared" si="54"/>
        <v>0</v>
      </c>
      <c r="L65" s="156">
        <f t="shared" si="54"/>
        <v>800</v>
      </c>
      <c r="M65" s="156">
        <f t="shared" si="54"/>
        <v>4646</v>
      </c>
      <c r="N65" s="156">
        <f t="shared" si="54"/>
        <v>1081</v>
      </c>
      <c r="O65" s="156">
        <f t="shared" si="54"/>
        <v>1422</v>
      </c>
      <c r="P65" s="156">
        <f t="shared" si="54"/>
        <v>1014949</v>
      </c>
      <c r="Q65" s="156">
        <f t="shared" si="54"/>
        <v>0</v>
      </c>
      <c r="R65" s="64" t="s">
        <v>269</v>
      </c>
      <c r="S65" s="154" t="s">
        <v>107</v>
      </c>
      <c r="T65" s="155" t="s">
        <v>116</v>
      </c>
      <c r="U65" s="170"/>
      <c r="V65" s="170"/>
      <c r="W65" s="155"/>
      <c r="X65" s="155"/>
      <c r="Y65" s="155"/>
      <c r="Z65" s="156">
        <f>SUM(Z66:Z68)</f>
        <v>17269</v>
      </c>
      <c r="AA65" s="156">
        <f>SUM(AA66:AA68)</f>
        <v>10051</v>
      </c>
      <c r="AB65" s="156">
        <f aca="true" t="shared" si="55" ref="AB65:AG65">SUM(AB66:AB68)</f>
        <v>15592</v>
      </c>
      <c r="AC65" s="156">
        <f t="shared" si="55"/>
        <v>48277</v>
      </c>
      <c r="AD65" s="156">
        <f>SUM(AD66:AD68)</f>
        <v>0</v>
      </c>
      <c r="AE65" s="156">
        <f>SUM(AE66:AE68)</f>
        <v>0</v>
      </c>
      <c r="AF65" s="156">
        <f>SUM(AF66:AF68)</f>
        <v>0</v>
      </c>
      <c r="AG65" s="156">
        <f t="shared" si="55"/>
        <v>0</v>
      </c>
      <c r="AH65" s="254">
        <f t="shared" si="50"/>
        <v>2296716</v>
      </c>
      <c r="AI65" s="64" t="s">
        <v>344</v>
      </c>
      <c r="AJ65" s="154" t="s">
        <v>107</v>
      </c>
      <c r="AK65" s="155" t="s">
        <v>116</v>
      </c>
      <c r="AL65" s="170"/>
      <c r="AM65" s="170"/>
      <c r="AN65" s="155"/>
      <c r="AO65" s="155"/>
      <c r="AP65" s="155"/>
      <c r="AQ65" s="156">
        <f aca="true" t="shared" si="56" ref="AQ65:AY65">SUM(AQ66:AQ68)</f>
        <v>5000</v>
      </c>
      <c r="AR65" s="156">
        <f t="shared" si="56"/>
        <v>1500</v>
      </c>
      <c r="AS65" s="156">
        <f t="shared" si="56"/>
        <v>2200</v>
      </c>
      <c r="AT65" s="156">
        <f t="shared" si="56"/>
        <v>0</v>
      </c>
      <c r="AU65" s="156">
        <f t="shared" si="56"/>
        <v>0</v>
      </c>
      <c r="AV65" s="156">
        <f t="shared" si="56"/>
        <v>0</v>
      </c>
      <c r="AW65" s="156">
        <f t="shared" si="56"/>
        <v>2000</v>
      </c>
      <c r="AX65" s="156">
        <f t="shared" si="56"/>
        <v>1000</v>
      </c>
      <c r="AY65" s="156">
        <f t="shared" si="56"/>
        <v>0</v>
      </c>
      <c r="AZ65" s="64" t="s">
        <v>420</v>
      </c>
      <c r="BA65" s="154" t="s">
        <v>107</v>
      </c>
      <c r="BB65" s="155" t="s">
        <v>116</v>
      </c>
      <c r="BC65" s="170"/>
      <c r="BD65" s="170"/>
      <c r="BE65" s="155"/>
      <c r="BF65" s="155"/>
      <c r="BG65" s="155"/>
      <c r="BH65" s="238">
        <f>SUM(BH66:BH68)</f>
        <v>0</v>
      </c>
      <c r="BI65" s="255">
        <f>SUM(BI66:BI68)</f>
        <v>0</v>
      </c>
      <c r="BJ65" s="254">
        <f t="shared" si="48"/>
        <v>11700</v>
      </c>
      <c r="BK65" s="156">
        <f t="shared" si="49"/>
        <v>2308416</v>
      </c>
    </row>
    <row r="66" spans="1:63" s="157" customFormat="1" ht="16.5" thickBot="1">
      <c r="A66" s="64" t="s">
        <v>169</v>
      </c>
      <c r="B66" s="158"/>
      <c r="C66" s="159" t="s">
        <v>109</v>
      </c>
      <c r="D66" s="160" t="s">
        <v>578</v>
      </c>
      <c r="E66" s="160"/>
      <c r="F66" s="160"/>
      <c r="G66" s="160"/>
      <c r="H66" s="161"/>
      <c r="I66" s="162">
        <f>'3. melléklet'!Z65+'2. melléklet'!BB65+'2. melléklet'!BC65++'2. melléklet'!DB65+'2. melléklet'!AM65</f>
        <v>457409</v>
      </c>
      <c r="J66" s="162">
        <f>'2. melléklet'!J65+'2. melléklet'!AN65+'2. melléklet'!AO65+'2. melléklet'!AP65+'2. melléklet'!BE65+'2. melléklet'!BF65+'2. melléklet'!BG65+'3. melléklet'!O65+'3. melléklet'!P65+'3. melléklet'!Y65+'4. melléklet'!I65</f>
        <v>20362</v>
      </c>
      <c r="K66" s="162"/>
      <c r="L66" s="162">
        <f>'2. melléklet'!AC65+'2. melléklet'!AQ65</f>
        <v>800</v>
      </c>
      <c r="M66" s="206">
        <f>SUM('4. melléklet'!J65:L65)</f>
        <v>4646</v>
      </c>
      <c r="N66" s="206">
        <f>'4. melléklet'!N65</f>
        <v>1081</v>
      </c>
      <c r="O66" s="206">
        <f>'4. melléklet'!M65+'2. melléklet'!BR65+'2. melléklet'!BS65+'2. melléklet'!CK65+'2. melléklet'!CW65</f>
        <v>1422</v>
      </c>
      <c r="P66" s="207">
        <f>'2. melléklet'!K65+'3. melléklet'!J65</f>
        <v>46434</v>
      </c>
      <c r="Q66" s="162"/>
      <c r="R66" s="64" t="s">
        <v>270</v>
      </c>
      <c r="S66" s="158"/>
      <c r="T66" s="159" t="s">
        <v>109</v>
      </c>
      <c r="U66" s="160" t="s">
        <v>578</v>
      </c>
      <c r="V66" s="160"/>
      <c r="W66" s="160"/>
      <c r="X66" s="160"/>
      <c r="Y66" s="161"/>
      <c r="Z66" s="162">
        <f>'2. melléklet'!BD65+'2. melléklet'!AR65</f>
        <v>17269</v>
      </c>
      <c r="AA66" s="207">
        <f>SUM('2. melléklet'!Z65:AB65)</f>
        <v>10051</v>
      </c>
      <c r="AB66" s="162">
        <f>'3. melléklet'!I65+'3. melléklet'!K65+'3. melléklet'!L65+'3. melléklet'!M65+'2. melléklet'!I65+'2. melléklet'!L65+'2. melléklet'!M65+'2. melléklet'!O65</f>
        <v>15574</v>
      </c>
      <c r="AC66" s="162">
        <f>SUM('2. melléklet'!BT65:BW65)</f>
        <v>14227</v>
      </c>
      <c r="AD66" s="162"/>
      <c r="AE66" s="162"/>
      <c r="AF66" s="162"/>
      <c r="AG66" s="162"/>
      <c r="AH66" s="254">
        <f t="shared" si="50"/>
        <v>589275</v>
      </c>
      <c r="AI66" s="64" t="s">
        <v>345</v>
      </c>
      <c r="AJ66" s="158"/>
      <c r="AK66" s="159" t="s">
        <v>109</v>
      </c>
      <c r="AL66" s="160" t="s">
        <v>578</v>
      </c>
      <c r="AM66" s="160"/>
      <c r="AN66" s="160"/>
      <c r="AO66" s="160"/>
      <c r="AP66" s="161"/>
      <c r="AQ66" s="162"/>
      <c r="AR66" s="206">
        <f>'2. melléklet'!N65</f>
        <v>1500</v>
      </c>
      <c r="AS66" s="162"/>
      <c r="AT66" s="162"/>
      <c r="AU66" s="162"/>
      <c r="AV66" s="162"/>
      <c r="AW66" s="162"/>
      <c r="AX66" s="162"/>
      <c r="AY66" s="162"/>
      <c r="AZ66" s="64" t="s">
        <v>421</v>
      </c>
      <c r="BA66" s="158"/>
      <c r="BB66" s="159" t="s">
        <v>109</v>
      </c>
      <c r="BC66" s="160" t="s">
        <v>578</v>
      </c>
      <c r="BD66" s="160"/>
      <c r="BE66" s="160"/>
      <c r="BF66" s="160"/>
      <c r="BG66" s="160"/>
      <c r="BH66" s="239"/>
      <c r="BI66" s="256"/>
      <c r="BJ66" s="254">
        <f t="shared" si="48"/>
        <v>1500</v>
      </c>
      <c r="BK66" s="162">
        <f>SUM(AH66,BJ66)</f>
        <v>590775</v>
      </c>
    </row>
    <row r="67" spans="1:63" s="157" customFormat="1" ht="16.5" thickBot="1">
      <c r="A67" s="64" t="s">
        <v>170</v>
      </c>
      <c r="B67" s="158"/>
      <c r="C67" s="159" t="s">
        <v>110</v>
      </c>
      <c r="D67" s="163" t="s">
        <v>579</v>
      </c>
      <c r="E67" s="163"/>
      <c r="F67" s="163"/>
      <c r="G67" s="163"/>
      <c r="H67" s="165"/>
      <c r="I67" s="166">
        <f>'3. melléklet'!Z66+'2. melléklet'!BB66+'2. melléklet'!BC66++'2. melléklet'!DB66+'2. melléklet'!AM66</f>
        <v>308210</v>
      </c>
      <c r="J67" s="166">
        <f>'2. melléklet'!J66+'2. melléklet'!AN66+'2. melléklet'!AO66+'2. melléklet'!AP66+'2. melléklet'!BE66+'2. melléklet'!BF66+'2. melléklet'!BG66+'3. melléklet'!O66+'3. melléklet'!P66+'3. melléklet'!Y66+'4. melléklet'!I66</f>
        <v>7000</v>
      </c>
      <c r="K67" s="166"/>
      <c r="L67" s="166">
        <f>'2. melléklet'!AC66+'2. melléklet'!AQ66</f>
        <v>0</v>
      </c>
      <c r="M67" s="206">
        <f>SUM('4. melléklet'!J66:L66)</f>
        <v>0</v>
      </c>
      <c r="N67" s="206">
        <f>'4. melléklet'!N66</f>
        <v>0</v>
      </c>
      <c r="O67" s="206">
        <f>'4. melléklet'!M66+'2. melléklet'!BR66+'2. melléklet'!BS66+'2. melléklet'!CK66+'2. melléklet'!CW66</f>
        <v>0</v>
      </c>
      <c r="P67" s="207">
        <f>'2. melléklet'!K66+'3. melléklet'!J66</f>
        <v>933144</v>
      </c>
      <c r="Q67" s="166"/>
      <c r="R67" s="64" t="s">
        <v>271</v>
      </c>
      <c r="S67" s="158"/>
      <c r="T67" s="159" t="s">
        <v>110</v>
      </c>
      <c r="U67" s="163" t="s">
        <v>579</v>
      </c>
      <c r="V67" s="163"/>
      <c r="W67" s="163"/>
      <c r="X67" s="163"/>
      <c r="Y67" s="165"/>
      <c r="Z67" s="166">
        <f>'2. melléklet'!BD66+'2. melléklet'!AR66</f>
        <v>0</v>
      </c>
      <c r="AA67" s="207">
        <f>SUM('2. melléklet'!Z66:AB66)</f>
        <v>0</v>
      </c>
      <c r="AB67" s="166">
        <f>'3. melléklet'!I66+'3. melléklet'!K66+'3. melléklet'!L66+'3. melléklet'!M66+'2. melléklet'!I66+'2. melléklet'!L66+'2. melléklet'!M66+'2. melléklet'!O66</f>
        <v>0</v>
      </c>
      <c r="AC67" s="166">
        <f>SUM('2. melléklet'!BT66:BW66)</f>
        <v>0</v>
      </c>
      <c r="AD67" s="166"/>
      <c r="AE67" s="166"/>
      <c r="AF67" s="166"/>
      <c r="AG67" s="166"/>
      <c r="AH67" s="254">
        <f t="shared" si="50"/>
        <v>1248354</v>
      </c>
      <c r="AI67" s="64" t="s">
        <v>346</v>
      </c>
      <c r="AJ67" s="158"/>
      <c r="AK67" s="159" t="s">
        <v>110</v>
      </c>
      <c r="AL67" s="163" t="s">
        <v>579</v>
      </c>
      <c r="AM67" s="163"/>
      <c r="AN67" s="163"/>
      <c r="AO67" s="163"/>
      <c r="AP67" s="165"/>
      <c r="AQ67" s="166"/>
      <c r="AR67" s="206">
        <f>'2. melléklet'!N66</f>
        <v>0</v>
      </c>
      <c r="AS67" s="166"/>
      <c r="AT67" s="166"/>
      <c r="AU67" s="166"/>
      <c r="AV67" s="166"/>
      <c r="AW67" s="166"/>
      <c r="AX67" s="166"/>
      <c r="AY67" s="166"/>
      <c r="AZ67" s="64" t="s">
        <v>422</v>
      </c>
      <c r="BA67" s="158"/>
      <c r="BB67" s="159" t="s">
        <v>110</v>
      </c>
      <c r="BC67" s="163" t="s">
        <v>579</v>
      </c>
      <c r="BD67" s="163"/>
      <c r="BE67" s="163"/>
      <c r="BF67" s="163"/>
      <c r="BG67" s="163"/>
      <c r="BH67" s="58"/>
      <c r="BI67" s="257"/>
      <c r="BJ67" s="254">
        <f t="shared" si="48"/>
        <v>0</v>
      </c>
      <c r="BK67" s="166">
        <f t="shared" si="49"/>
        <v>1248354</v>
      </c>
    </row>
    <row r="68" spans="1:63" s="157" customFormat="1" ht="16.5" thickBot="1">
      <c r="A68" s="64" t="s">
        <v>171</v>
      </c>
      <c r="B68" s="158"/>
      <c r="C68" s="159" t="s">
        <v>111</v>
      </c>
      <c r="D68" s="163" t="s">
        <v>580</v>
      </c>
      <c r="E68" s="164"/>
      <c r="F68" s="163"/>
      <c r="G68" s="163"/>
      <c r="H68" s="165"/>
      <c r="I68" s="166">
        <f>SUM(I69:I72)</f>
        <v>360876</v>
      </c>
      <c r="J68" s="166">
        <f aca="true" t="shared" si="57" ref="J68:Q68">SUM(J69:J72)</f>
        <v>28772</v>
      </c>
      <c r="K68" s="166">
        <f t="shared" si="57"/>
        <v>0</v>
      </c>
      <c r="L68" s="166">
        <f t="shared" si="57"/>
        <v>0</v>
      </c>
      <c r="M68" s="166">
        <f t="shared" si="57"/>
        <v>0</v>
      </c>
      <c r="N68" s="166">
        <f t="shared" si="57"/>
        <v>0</v>
      </c>
      <c r="O68" s="166">
        <f t="shared" si="57"/>
        <v>0</v>
      </c>
      <c r="P68" s="166">
        <f t="shared" si="57"/>
        <v>35371</v>
      </c>
      <c r="Q68" s="166">
        <f t="shared" si="57"/>
        <v>0</v>
      </c>
      <c r="R68" s="64" t="s">
        <v>272</v>
      </c>
      <c r="S68" s="158"/>
      <c r="T68" s="159" t="s">
        <v>111</v>
      </c>
      <c r="U68" s="163" t="s">
        <v>580</v>
      </c>
      <c r="V68" s="164"/>
      <c r="W68" s="163"/>
      <c r="X68" s="163"/>
      <c r="Y68" s="165"/>
      <c r="Z68" s="166">
        <f>SUM(Z69:Z72)</f>
        <v>0</v>
      </c>
      <c r="AA68" s="166">
        <f>SUM(AA69:AA72)</f>
        <v>0</v>
      </c>
      <c r="AB68" s="166">
        <f aca="true" t="shared" si="58" ref="AB68:AG68">SUM(AB69:AB72)</f>
        <v>18</v>
      </c>
      <c r="AC68" s="166">
        <f t="shared" si="58"/>
        <v>34050</v>
      </c>
      <c r="AD68" s="166">
        <f>SUM(AD69:AD72)</f>
        <v>0</v>
      </c>
      <c r="AE68" s="166">
        <f>SUM(AE69:AE72)</f>
        <v>0</v>
      </c>
      <c r="AF68" s="166">
        <f>SUM(AF69:AF72)</f>
        <v>0</v>
      </c>
      <c r="AG68" s="166">
        <f t="shared" si="58"/>
        <v>0</v>
      </c>
      <c r="AH68" s="254">
        <f t="shared" si="50"/>
        <v>459087</v>
      </c>
      <c r="AI68" s="64" t="s">
        <v>347</v>
      </c>
      <c r="AJ68" s="158"/>
      <c r="AK68" s="159" t="s">
        <v>111</v>
      </c>
      <c r="AL68" s="163" t="s">
        <v>580</v>
      </c>
      <c r="AM68" s="164"/>
      <c r="AN68" s="163"/>
      <c r="AO68" s="163"/>
      <c r="AP68" s="165"/>
      <c r="AQ68" s="166">
        <f aca="true" t="shared" si="59" ref="AQ68:AY68">SUM(AQ69:AQ72)</f>
        <v>5000</v>
      </c>
      <c r="AR68" s="166">
        <f t="shared" si="59"/>
        <v>0</v>
      </c>
      <c r="AS68" s="166">
        <f t="shared" si="59"/>
        <v>2200</v>
      </c>
      <c r="AT68" s="166">
        <f t="shared" si="59"/>
        <v>0</v>
      </c>
      <c r="AU68" s="166">
        <f t="shared" si="59"/>
        <v>0</v>
      </c>
      <c r="AV68" s="166">
        <f t="shared" si="59"/>
        <v>0</v>
      </c>
      <c r="AW68" s="166">
        <f t="shared" si="59"/>
        <v>2000</v>
      </c>
      <c r="AX68" s="166">
        <f t="shared" si="59"/>
        <v>1000</v>
      </c>
      <c r="AY68" s="166">
        <f t="shared" si="59"/>
        <v>0</v>
      </c>
      <c r="AZ68" s="64" t="s">
        <v>423</v>
      </c>
      <c r="BA68" s="158"/>
      <c r="BB68" s="159" t="s">
        <v>111</v>
      </c>
      <c r="BC68" s="163" t="s">
        <v>580</v>
      </c>
      <c r="BD68" s="164"/>
      <c r="BE68" s="163"/>
      <c r="BF68" s="163"/>
      <c r="BG68" s="163"/>
      <c r="BH68" s="58">
        <f>SUM(BH69:BH72)</f>
        <v>0</v>
      </c>
      <c r="BI68" s="257">
        <f>SUM(BI69:BI72)</f>
        <v>0</v>
      </c>
      <c r="BJ68" s="254">
        <f t="shared" si="48"/>
        <v>10200</v>
      </c>
      <c r="BK68" s="166">
        <f t="shared" si="49"/>
        <v>469287</v>
      </c>
    </row>
    <row r="69" spans="1:63" s="62" customFormat="1" ht="15" thickBot="1">
      <c r="A69" s="64" t="s">
        <v>172</v>
      </c>
      <c r="B69" s="121"/>
      <c r="C69" s="128"/>
      <c r="D69" s="123" t="s">
        <v>712</v>
      </c>
      <c r="E69" s="124" t="s">
        <v>713</v>
      </c>
      <c r="F69" s="124"/>
      <c r="G69" s="124"/>
      <c r="H69" s="125"/>
      <c r="I69" s="108">
        <f>'3. melléklet'!Z68+'2. melléklet'!BB68+'2. melléklet'!BC68++'2. melléklet'!DB68+'2. melléklet'!AM68</f>
        <v>0</v>
      </c>
      <c r="J69" s="206">
        <f>'2. melléklet'!J68+'2. melléklet'!AN68+'2. melléklet'!AO68+'2. melléklet'!AP68+'2. melléklet'!BE68+'2. melléklet'!BF68+'2. melléklet'!BG68+'3. melléklet'!O68+'3. melléklet'!P68+'3. melléklet'!Y68+'4. melléklet'!I68</f>
        <v>0</v>
      </c>
      <c r="K69" s="102"/>
      <c r="L69" s="206">
        <f>'2. melléklet'!AC68+'2. melléklet'!AQ68</f>
        <v>0</v>
      </c>
      <c r="M69" s="206">
        <f>SUM('4. melléklet'!J68:L68)</f>
        <v>0</v>
      </c>
      <c r="N69" s="206">
        <f>'4. melléklet'!N68</f>
        <v>0</v>
      </c>
      <c r="O69" s="206">
        <f>'4. melléklet'!M68+'2. melléklet'!BR68+'2. melléklet'!BS68+'2. melléklet'!CK68+'2. melléklet'!CW68</f>
        <v>0</v>
      </c>
      <c r="P69" s="206">
        <f>'2. melléklet'!K68+'3. melléklet'!J68</f>
        <v>0</v>
      </c>
      <c r="Q69" s="102"/>
      <c r="R69" s="64" t="s">
        <v>273</v>
      </c>
      <c r="S69" s="121"/>
      <c r="T69" s="128"/>
      <c r="U69" s="123" t="s">
        <v>712</v>
      </c>
      <c r="V69" s="124" t="s">
        <v>713</v>
      </c>
      <c r="W69" s="124"/>
      <c r="X69" s="124"/>
      <c r="Y69" s="125"/>
      <c r="Z69" s="206">
        <f>'2. melléklet'!BD68+'2. melléklet'!AR68</f>
        <v>0</v>
      </c>
      <c r="AA69" s="206">
        <f>SUM('2. melléklet'!Z68:AB68)</f>
        <v>0</v>
      </c>
      <c r="AB69" s="206">
        <f>'3. melléklet'!I68+'3. melléklet'!K68+'3. melléklet'!L68+'3. melléklet'!M68+'2. melléklet'!I68+'2. melléklet'!L68+'2. melléklet'!M68+'2. melléklet'!O68</f>
        <v>0</v>
      </c>
      <c r="AC69" s="206">
        <f>SUM('2. melléklet'!BT68:BW68)</f>
        <v>0</v>
      </c>
      <c r="AD69" s="102"/>
      <c r="AE69" s="102"/>
      <c r="AF69" s="102"/>
      <c r="AG69" s="102"/>
      <c r="AH69" s="254">
        <f t="shared" si="50"/>
        <v>0</v>
      </c>
      <c r="AI69" s="64" t="s">
        <v>348</v>
      </c>
      <c r="AJ69" s="121"/>
      <c r="AK69" s="128"/>
      <c r="AL69" s="123" t="s">
        <v>712</v>
      </c>
      <c r="AM69" s="124" t="s">
        <v>713</v>
      </c>
      <c r="AN69" s="124"/>
      <c r="AO69" s="124"/>
      <c r="AP69" s="125"/>
      <c r="AQ69" s="102"/>
      <c r="AR69" s="206">
        <f>'2. melléklet'!N68</f>
        <v>0</v>
      </c>
      <c r="AS69" s="102"/>
      <c r="AT69" s="102"/>
      <c r="AU69" s="102"/>
      <c r="AV69" s="102"/>
      <c r="AW69" s="102"/>
      <c r="AX69" s="102"/>
      <c r="AY69" s="102"/>
      <c r="AZ69" s="64" t="s">
        <v>424</v>
      </c>
      <c r="BA69" s="121"/>
      <c r="BB69" s="128"/>
      <c r="BC69" s="123" t="s">
        <v>712</v>
      </c>
      <c r="BD69" s="124" t="s">
        <v>713</v>
      </c>
      <c r="BE69" s="124"/>
      <c r="BF69" s="124"/>
      <c r="BG69" s="124"/>
      <c r="BH69" s="102"/>
      <c r="BI69" s="251"/>
      <c r="BJ69" s="254">
        <f t="shared" si="48"/>
        <v>0</v>
      </c>
      <c r="BK69" s="102">
        <f t="shared" si="49"/>
        <v>0</v>
      </c>
    </row>
    <row r="70" spans="1:63" s="62" customFormat="1" ht="15" thickBot="1">
      <c r="A70" s="64" t="s">
        <v>173</v>
      </c>
      <c r="B70" s="121"/>
      <c r="C70" s="128"/>
      <c r="D70" s="123" t="s">
        <v>714</v>
      </c>
      <c r="E70" s="124" t="s">
        <v>581</v>
      </c>
      <c r="F70" s="124"/>
      <c r="G70" s="124"/>
      <c r="H70" s="125"/>
      <c r="I70" s="108">
        <f>'3. melléklet'!Z69+'2. melléklet'!BB69+'2. melléklet'!BC69++'2. melléklet'!DB69+'2. melléklet'!AM69</f>
        <v>0</v>
      </c>
      <c r="J70" s="206">
        <f>'2. melléklet'!J69+'2. melléklet'!AN69+'2. melléklet'!AO69+'2. melléklet'!AP69+'2. melléklet'!BE69+'2. melléklet'!BF69+'2. melléklet'!BG69+'3. melléklet'!O69+'3. melléklet'!P69+'3. melléklet'!Y69+'4. melléklet'!I69</f>
        <v>0</v>
      </c>
      <c r="K70" s="102"/>
      <c r="L70" s="206">
        <f>'2. melléklet'!AC69+'2. melléklet'!AQ69</f>
        <v>0</v>
      </c>
      <c r="M70" s="206">
        <f>SUM('4. melléklet'!J69:L69)</f>
        <v>0</v>
      </c>
      <c r="N70" s="206">
        <f>'4. melléklet'!N69</f>
        <v>0</v>
      </c>
      <c r="O70" s="206">
        <f>'4. melléklet'!M69+'2. melléklet'!BR69+'2. melléklet'!BS69+'2. melléklet'!CK69+'2. melléklet'!CW69</f>
        <v>0</v>
      </c>
      <c r="P70" s="206">
        <f>'2. melléklet'!K69+'3. melléklet'!J69</f>
        <v>0</v>
      </c>
      <c r="Q70" s="102"/>
      <c r="R70" s="64" t="s">
        <v>274</v>
      </c>
      <c r="S70" s="121"/>
      <c r="T70" s="128"/>
      <c r="U70" s="123" t="s">
        <v>714</v>
      </c>
      <c r="V70" s="124" t="s">
        <v>581</v>
      </c>
      <c r="W70" s="124"/>
      <c r="X70" s="124"/>
      <c r="Y70" s="125"/>
      <c r="Z70" s="206">
        <f>'2. melléklet'!BD69+'2. melléklet'!AR69</f>
        <v>0</v>
      </c>
      <c r="AA70" s="206">
        <f>SUM('2. melléklet'!Z69:AB69)</f>
        <v>0</v>
      </c>
      <c r="AB70" s="206">
        <f>'3. melléklet'!I69+'3. melléklet'!K69+'3. melléklet'!L69+'3. melléklet'!M69+'2. melléklet'!I69+'2. melléklet'!L69+'2. melléklet'!M69+'2. melléklet'!O69</f>
        <v>0</v>
      </c>
      <c r="AC70" s="206">
        <f>SUM('2. melléklet'!BT69:BW69)</f>
        <v>0</v>
      </c>
      <c r="AD70" s="102"/>
      <c r="AE70" s="102"/>
      <c r="AF70" s="102"/>
      <c r="AG70" s="102"/>
      <c r="AH70" s="254">
        <f t="shared" si="50"/>
        <v>0</v>
      </c>
      <c r="AI70" s="64" t="s">
        <v>349</v>
      </c>
      <c r="AJ70" s="121"/>
      <c r="AK70" s="128"/>
      <c r="AL70" s="123" t="s">
        <v>714</v>
      </c>
      <c r="AM70" s="124" t="s">
        <v>581</v>
      </c>
      <c r="AN70" s="124"/>
      <c r="AO70" s="124"/>
      <c r="AP70" s="125"/>
      <c r="AQ70" s="102"/>
      <c r="AR70" s="206">
        <f>'2. melléklet'!N69</f>
        <v>0</v>
      </c>
      <c r="AS70" s="102"/>
      <c r="AT70" s="102"/>
      <c r="AU70" s="102"/>
      <c r="AV70" s="102"/>
      <c r="AW70" s="102">
        <f>'2. melléklet'!AS69</f>
        <v>2000</v>
      </c>
      <c r="AX70" s="102"/>
      <c r="AY70" s="102"/>
      <c r="AZ70" s="64" t="s">
        <v>425</v>
      </c>
      <c r="BA70" s="121"/>
      <c r="BB70" s="128"/>
      <c r="BC70" s="123" t="s">
        <v>714</v>
      </c>
      <c r="BD70" s="124" t="s">
        <v>581</v>
      </c>
      <c r="BE70" s="124"/>
      <c r="BF70" s="124"/>
      <c r="BG70" s="124"/>
      <c r="BH70" s="102"/>
      <c r="BI70" s="251"/>
      <c r="BJ70" s="254">
        <f t="shared" si="48"/>
        <v>2000</v>
      </c>
      <c r="BK70" s="102">
        <f t="shared" si="49"/>
        <v>2000</v>
      </c>
    </row>
    <row r="71" spans="1:63" s="62" customFormat="1" ht="15" thickBot="1">
      <c r="A71" s="64" t="s">
        <v>174</v>
      </c>
      <c r="B71" s="121"/>
      <c r="C71" s="128"/>
      <c r="D71" s="123" t="s">
        <v>715</v>
      </c>
      <c r="E71" s="124" t="s">
        <v>716</v>
      </c>
      <c r="F71" s="63"/>
      <c r="G71" s="124"/>
      <c r="H71" s="125"/>
      <c r="I71" s="108">
        <f>'3. melléklet'!Z70+'2. melléklet'!BB70+'2. melléklet'!BC70++'2. melléklet'!DB70+'2. melléklet'!AM70</f>
        <v>0</v>
      </c>
      <c r="J71" s="206">
        <f>'2. melléklet'!J70+'2. melléklet'!AN70+'2. melléklet'!AO70+'2. melléklet'!AP70+'2. melléklet'!BE70+'2. melléklet'!BF70+'2. melléklet'!BG70+'3. melléklet'!O70+'3. melléklet'!P70+'3. melléklet'!Y70+'4. melléklet'!I70-1000</f>
        <v>28772</v>
      </c>
      <c r="K71" s="102"/>
      <c r="L71" s="206">
        <f>'2. melléklet'!AC70+'2. melléklet'!AQ70</f>
        <v>0</v>
      </c>
      <c r="M71" s="206">
        <f>SUM('4. melléklet'!J70:L70)</f>
        <v>0</v>
      </c>
      <c r="N71" s="206">
        <f>'4. melléklet'!N70</f>
        <v>0</v>
      </c>
      <c r="O71" s="206">
        <f>'4. melléklet'!M70+'2. melléklet'!BR70+'2. melléklet'!BS70+'2. melléklet'!CK70+'2. melléklet'!CW70</f>
        <v>0</v>
      </c>
      <c r="P71" s="206">
        <f>'2. melléklet'!K70+'3. melléklet'!J70</f>
        <v>35371</v>
      </c>
      <c r="Q71" s="102"/>
      <c r="R71" s="64" t="s">
        <v>275</v>
      </c>
      <c r="S71" s="121"/>
      <c r="T71" s="128"/>
      <c r="U71" s="123" t="s">
        <v>715</v>
      </c>
      <c r="V71" s="124" t="s">
        <v>716</v>
      </c>
      <c r="W71" s="63"/>
      <c r="X71" s="124"/>
      <c r="Y71" s="125"/>
      <c r="Z71" s="206">
        <f>'2. melléklet'!BD70+'2. melléklet'!AR70</f>
        <v>0</v>
      </c>
      <c r="AA71" s="206">
        <f>SUM('2. melléklet'!Z70:AB70)</f>
        <v>0</v>
      </c>
      <c r="AB71" s="206">
        <f>'3. melléklet'!I70+'3. melléklet'!K70+'3. melléklet'!L70+'3. melléklet'!M70+'2. melléklet'!I70+'2. melléklet'!L70+'2. melléklet'!M70+'2. melléklet'!O70</f>
        <v>18</v>
      </c>
      <c r="AC71" s="206">
        <f>SUM('2. melléklet'!BT70:BW70)</f>
        <v>34050</v>
      </c>
      <c r="AD71" s="102"/>
      <c r="AE71" s="102"/>
      <c r="AF71" s="102"/>
      <c r="AG71" s="102"/>
      <c r="AH71" s="254">
        <f t="shared" si="50"/>
        <v>98211</v>
      </c>
      <c r="AI71" s="64" t="s">
        <v>351</v>
      </c>
      <c r="AJ71" s="121"/>
      <c r="AK71" s="128"/>
      <c r="AL71" s="123" t="s">
        <v>715</v>
      </c>
      <c r="AM71" s="124" t="s">
        <v>716</v>
      </c>
      <c r="AN71" s="63"/>
      <c r="AO71" s="124"/>
      <c r="AP71" s="125"/>
      <c r="AQ71" s="102">
        <f>'2. melléklet'!CF70</f>
        <v>5000</v>
      </c>
      <c r="AR71" s="206">
        <f>'2. melléklet'!N70</f>
        <v>0</v>
      </c>
      <c r="AS71" s="102">
        <f>'2. melléklet'!CI70</f>
        <v>2200</v>
      </c>
      <c r="AT71" s="102"/>
      <c r="AU71" s="102"/>
      <c r="AV71" s="102"/>
      <c r="AW71" s="102"/>
      <c r="AX71" s="102">
        <v>1000</v>
      </c>
      <c r="AY71" s="102"/>
      <c r="AZ71" s="64" t="s">
        <v>426</v>
      </c>
      <c r="BA71" s="121"/>
      <c r="BB71" s="128"/>
      <c r="BC71" s="123" t="s">
        <v>715</v>
      </c>
      <c r="BD71" s="124" t="s">
        <v>716</v>
      </c>
      <c r="BE71" s="63"/>
      <c r="BF71" s="124"/>
      <c r="BG71" s="124"/>
      <c r="BH71" s="102"/>
      <c r="BI71" s="251"/>
      <c r="BJ71" s="254">
        <f t="shared" si="48"/>
        <v>8200</v>
      </c>
      <c r="BK71" s="102">
        <f t="shared" si="49"/>
        <v>106411</v>
      </c>
    </row>
    <row r="72" spans="1:63" s="62" customFormat="1" ht="15" thickBot="1">
      <c r="A72" s="64" t="s">
        <v>175</v>
      </c>
      <c r="B72" s="121"/>
      <c r="C72" s="128"/>
      <c r="D72" s="123" t="s">
        <v>717</v>
      </c>
      <c r="E72" s="124" t="s">
        <v>582</v>
      </c>
      <c r="F72" s="63"/>
      <c r="G72" s="124"/>
      <c r="H72" s="125"/>
      <c r="I72" s="108">
        <f>'3. melléklet'!Z71+'2. melléklet'!BB71+'2. melléklet'!BC71++'2. melléklet'!DB71+'2. melléklet'!AM71</f>
        <v>360876</v>
      </c>
      <c r="J72" s="206">
        <f>'2. melléklet'!J71+'2. melléklet'!AN71+'2. melléklet'!AO71+'2. melléklet'!AP71+'2. melléklet'!BE71+'2. melléklet'!BF71+'2. melléklet'!BG71+'3. melléklet'!O71+'3. melléklet'!P71+'3. melléklet'!Y71+'4. melléklet'!I71</f>
        <v>0</v>
      </c>
      <c r="K72" s="103"/>
      <c r="L72" s="206">
        <f>'2. melléklet'!AC71+'2. melléklet'!AQ71</f>
        <v>0</v>
      </c>
      <c r="M72" s="206">
        <f>SUM('4. melléklet'!J71:L71)</f>
        <v>0</v>
      </c>
      <c r="N72" s="206">
        <f>'4. melléklet'!N71</f>
        <v>0</v>
      </c>
      <c r="O72" s="206">
        <f>'4. melléklet'!M71+'2. melléklet'!BR71+'2. melléklet'!BS71+'2. melléklet'!CK71+'2. melléklet'!CW71</f>
        <v>0</v>
      </c>
      <c r="P72" s="206">
        <f>'2. melléklet'!K71+'3. melléklet'!J71</f>
        <v>0</v>
      </c>
      <c r="Q72" s="103"/>
      <c r="R72" s="64" t="s">
        <v>276</v>
      </c>
      <c r="S72" s="121"/>
      <c r="T72" s="128"/>
      <c r="U72" s="123" t="s">
        <v>717</v>
      </c>
      <c r="V72" s="124" t="s">
        <v>582</v>
      </c>
      <c r="W72" s="63"/>
      <c r="X72" s="124"/>
      <c r="Y72" s="125"/>
      <c r="Z72" s="206">
        <f>'2. melléklet'!BD71+'2. melléklet'!AR71</f>
        <v>0</v>
      </c>
      <c r="AA72" s="206">
        <f>SUM('2. melléklet'!Z71:AB71)</f>
        <v>0</v>
      </c>
      <c r="AB72" s="206">
        <f>'3. melléklet'!I71+'3. melléklet'!K71+'3. melléklet'!L71+'3. melléklet'!M71+'2. melléklet'!I71+'2. melléklet'!L71+'2. melléklet'!M71+'2. melléklet'!O71</f>
        <v>0</v>
      </c>
      <c r="AC72" s="206">
        <f>SUM('2. melléklet'!BT71:BW71)</f>
        <v>0</v>
      </c>
      <c r="AD72" s="103"/>
      <c r="AE72" s="103"/>
      <c r="AF72" s="103"/>
      <c r="AG72" s="103"/>
      <c r="AH72" s="254">
        <f t="shared" si="50"/>
        <v>360876</v>
      </c>
      <c r="AI72" s="64" t="s">
        <v>352</v>
      </c>
      <c r="AJ72" s="121"/>
      <c r="AK72" s="128"/>
      <c r="AL72" s="123" t="s">
        <v>717</v>
      </c>
      <c r="AM72" s="124" t="s">
        <v>582</v>
      </c>
      <c r="AN72" s="63"/>
      <c r="AO72" s="124"/>
      <c r="AP72" s="125"/>
      <c r="AQ72" s="103"/>
      <c r="AR72" s="206">
        <f>'2. melléklet'!N71</f>
        <v>0</v>
      </c>
      <c r="AS72" s="103"/>
      <c r="AT72" s="103"/>
      <c r="AU72" s="103"/>
      <c r="AV72" s="103"/>
      <c r="AW72" s="103"/>
      <c r="AX72" s="103"/>
      <c r="AY72" s="103"/>
      <c r="AZ72" s="64" t="s">
        <v>427</v>
      </c>
      <c r="BA72" s="121"/>
      <c r="BB72" s="128"/>
      <c r="BC72" s="123" t="s">
        <v>717</v>
      </c>
      <c r="BD72" s="124" t="s">
        <v>582</v>
      </c>
      <c r="BE72" s="63"/>
      <c r="BF72" s="124"/>
      <c r="BG72" s="124"/>
      <c r="BH72" s="103"/>
      <c r="BI72" s="258"/>
      <c r="BJ72" s="254">
        <f t="shared" si="48"/>
        <v>0</v>
      </c>
      <c r="BK72" s="103">
        <f t="shared" si="49"/>
        <v>360876</v>
      </c>
    </row>
    <row r="73" spans="1:63" s="150" customFormat="1" ht="30" customHeight="1" thickBot="1">
      <c r="A73" s="64" t="s">
        <v>176</v>
      </c>
      <c r="B73" s="186" t="s">
        <v>594</v>
      </c>
      <c r="C73" s="171"/>
      <c r="D73" s="172"/>
      <c r="E73" s="172"/>
      <c r="F73" s="172"/>
      <c r="G73" s="172"/>
      <c r="H73" s="172"/>
      <c r="I73" s="147">
        <f>SUM(I54,I65)</f>
        <v>1133194</v>
      </c>
      <c r="J73" s="147">
        <f aca="true" t="shared" si="60" ref="J73:Q73">SUM(J54,J65)</f>
        <v>696349</v>
      </c>
      <c r="K73" s="147">
        <f t="shared" si="60"/>
        <v>10192</v>
      </c>
      <c r="L73" s="147">
        <f t="shared" si="60"/>
        <v>55540</v>
      </c>
      <c r="M73" s="147">
        <f t="shared" si="60"/>
        <v>456587</v>
      </c>
      <c r="N73" s="147">
        <f t="shared" si="60"/>
        <v>122346</v>
      </c>
      <c r="O73" s="147">
        <f t="shared" si="60"/>
        <v>242956</v>
      </c>
      <c r="P73" s="147">
        <f t="shared" si="60"/>
        <v>1170451</v>
      </c>
      <c r="Q73" s="147">
        <f t="shared" si="60"/>
        <v>25869</v>
      </c>
      <c r="R73" s="64" t="s">
        <v>277</v>
      </c>
      <c r="S73" s="186" t="s">
        <v>594</v>
      </c>
      <c r="T73" s="171"/>
      <c r="U73" s="172"/>
      <c r="V73" s="172"/>
      <c r="W73" s="172"/>
      <c r="X73" s="172"/>
      <c r="Y73" s="172"/>
      <c r="Z73" s="147">
        <f>SUM(Z54,Z65)</f>
        <v>54574</v>
      </c>
      <c r="AA73" s="147">
        <f>SUM(AA54,AA65)</f>
        <v>93990</v>
      </c>
      <c r="AB73" s="147">
        <f aca="true" t="shared" si="61" ref="AB73:AG73">SUM(AB54,AB65)</f>
        <v>965741</v>
      </c>
      <c r="AC73" s="147">
        <f t="shared" si="61"/>
        <v>51108</v>
      </c>
      <c r="AD73" s="147">
        <f>SUM(AD54,AD65)</f>
        <v>31966</v>
      </c>
      <c r="AE73" s="147">
        <f>SUM(AE54,AE65)</f>
        <v>52839</v>
      </c>
      <c r="AF73" s="147">
        <f>SUM(AF54,AF65)</f>
        <v>21650</v>
      </c>
      <c r="AG73" s="147">
        <f t="shared" si="61"/>
        <v>3596</v>
      </c>
      <c r="AH73" s="254">
        <f t="shared" si="50"/>
        <v>5188948</v>
      </c>
      <c r="AI73" s="64" t="s">
        <v>353</v>
      </c>
      <c r="AJ73" s="186" t="s">
        <v>594</v>
      </c>
      <c r="AK73" s="171"/>
      <c r="AL73" s="172"/>
      <c r="AM73" s="172"/>
      <c r="AN73" s="172"/>
      <c r="AO73" s="172"/>
      <c r="AP73" s="172"/>
      <c r="AQ73" s="147">
        <f aca="true" t="shared" si="62" ref="AQ73:AY73">SUM(AQ54,AQ65)</f>
        <v>85882</v>
      </c>
      <c r="AR73" s="147">
        <f t="shared" si="62"/>
        <v>52505</v>
      </c>
      <c r="AS73" s="147">
        <f t="shared" si="62"/>
        <v>69464</v>
      </c>
      <c r="AT73" s="147">
        <f t="shared" si="62"/>
        <v>11142</v>
      </c>
      <c r="AU73" s="147">
        <f t="shared" si="62"/>
        <v>0</v>
      </c>
      <c r="AV73" s="147">
        <f t="shared" si="62"/>
        <v>10556</v>
      </c>
      <c r="AW73" s="147">
        <f t="shared" si="62"/>
        <v>5000</v>
      </c>
      <c r="AX73" s="147">
        <f t="shared" si="62"/>
        <v>3792</v>
      </c>
      <c r="AY73" s="147">
        <f t="shared" si="62"/>
        <v>6230</v>
      </c>
      <c r="AZ73" s="64" t="s">
        <v>428</v>
      </c>
      <c r="BA73" s="186" t="s">
        <v>594</v>
      </c>
      <c r="BB73" s="171"/>
      <c r="BC73" s="172"/>
      <c r="BD73" s="172"/>
      <c r="BE73" s="172"/>
      <c r="BF73" s="172"/>
      <c r="BG73" s="172"/>
      <c r="BH73" s="237">
        <f>SUM(BH54,BH65)</f>
        <v>8000</v>
      </c>
      <c r="BI73" s="259">
        <f>SUM(BI54,BI65)</f>
        <v>450</v>
      </c>
      <c r="BJ73" s="254">
        <f t="shared" si="48"/>
        <v>253021</v>
      </c>
      <c r="BK73" s="147">
        <f t="shared" si="49"/>
        <v>5441969</v>
      </c>
    </row>
    <row r="74" spans="1:63" s="157" customFormat="1" ht="16.5" thickBot="1">
      <c r="A74" s="64" t="s">
        <v>177</v>
      </c>
      <c r="B74" s="154" t="s">
        <v>112</v>
      </c>
      <c r="C74" s="155" t="s">
        <v>583</v>
      </c>
      <c r="D74" s="155"/>
      <c r="E74" s="155"/>
      <c r="F74" s="155"/>
      <c r="G74" s="155"/>
      <c r="H74" s="155"/>
      <c r="I74" s="156">
        <f>SUM(I75,I77)</f>
        <v>346966</v>
      </c>
      <c r="J74" s="156">
        <f aca="true" t="shared" si="63" ref="J74:Q74">SUM(J75,J77)</f>
        <v>0</v>
      </c>
      <c r="K74" s="156">
        <f t="shared" si="63"/>
        <v>0</v>
      </c>
      <c r="L74" s="156">
        <f t="shared" si="63"/>
        <v>0</v>
      </c>
      <c r="M74" s="156">
        <f t="shared" si="63"/>
        <v>0</v>
      </c>
      <c r="N74" s="156">
        <f t="shared" si="63"/>
        <v>0</v>
      </c>
      <c r="O74" s="156">
        <f t="shared" si="63"/>
        <v>0</v>
      </c>
      <c r="P74" s="156">
        <f t="shared" si="63"/>
        <v>0</v>
      </c>
      <c r="Q74" s="156">
        <f t="shared" si="63"/>
        <v>0</v>
      </c>
      <c r="R74" s="64" t="s">
        <v>278</v>
      </c>
      <c r="S74" s="154" t="s">
        <v>112</v>
      </c>
      <c r="T74" s="155" t="s">
        <v>583</v>
      </c>
      <c r="U74" s="155"/>
      <c r="V74" s="155"/>
      <c r="W74" s="155"/>
      <c r="X74" s="155"/>
      <c r="Y74" s="155"/>
      <c r="Z74" s="156">
        <f>SUM(Z75,Z77)</f>
        <v>0</v>
      </c>
      <c r="AA74" s="156">
        <f>SUM(AA75,AA77)</f>
        <v>0</v>
      </c>
      <c r="AB74" s="156">
        <f aca="true" t="shared" si="64" ref="AB74:AG74">SUM(AB75,AB77)</f>
        <v>0</v>
      </c>
      <c r="AC74" s="156">
        <f t="shared" si="64"/>
        <v>0</v>
      </c>
      <c r="AD74" s="156">
        <f t="shared" si="64"/>
        <v>0</v>
      </c>
      <c r="AE74" s="156">
        <f t="shared" si="64"/>
        <v>0</v>
      </c>
      <c r="AF74" s="156">
        <f t="shared" si="64"/>
        <v>0</v>
      </c>
      <c r="AG74" s="156">
        <f t="shared" si="64"/>
        <v>0</v>
      </c>
      <c r="AH74" s="254">
        <f t="shared" si="50"/>
        <v>346966</v>
      </c>
      <c r="AI74" s="64" t="s">
        <v>354</v>
      </c>
      <c r="AJ74" s="154" t="s">
        <v>112</v>
      </c>
      <c r="AK74" s="155" t="s">
        <v>583</v>
      </c>
      <c r="AL74" s="155"/>
      <c r="AM74" s="155"/>
      <c r="AN74" s="155"/>
      <c r="AO74" s="155"/>
      <c r="AP74" s="155"/>
      <c r="AQ74" s="156">
        <f>SUM(AQ75,AQ77)</f>
        <v>0</v>
      </c>
      <c r="AR74" s="156">
        <f>SUM(AR75,AR77)</f>
        <v>0</v>
      </c>
      <c r="AS74" s="156"/>
      <c r="AT74" s="156"/>
      <c r="AU74" s="156"/>
      <c r="AV74" s="156"/>
      <c r="AW74" s="156"/>
      <c r="AX74" s="156"/>
      <c r="AY74" s="156"/>
      <c r="AZ74" s="64" t="s">
        <v>429</v>
      </c>
      <c r="BA74" s="154" t="s">
        <v>112</v>
      </c>
      <c r="BB74" s="155" t="s">
        <v>583</v>
      </c>
      <c r="BC74" s="155"/>
      <c r="BD74" s="155"/>
      <c r="BE74" s="155"/>
      <c r="BF74" s="155"/>
      <c r="BG74" s="155"/>
      <c r="BH74" s="238"/>
      <c r="BI74" s="255"/>
      <c r="BJ74" s="254">
        <f t="shared" si="48"/>
        <v>0</v>
      </c>
      <c r="BK74" s="238">
        <f t="shared" si="49"/>
        <v>346966</v>
      </c>
    </row>
    <row r="75" spans="1:63" s="157" customFormat="1" ht="16.5" thickBot="1">
      <c r="A75" s="64" t="s">
        <v>178</v>
      </c>
      <c r="B75" s="158"/>
      <c r="C75" s="173" t="s">
        <v>113</v>
      </c>
      <c r="D75" s="174" t="s">
        <v>587</v>
      </c>
      <c r="E75" s="174"/>
      <c r="F75" s="174"/>
      <c r="G75" s="174"/>
      <c r="H75" s="175"/>
      <c r="I75" s="194">
        <f>SUM(I76)</f>
        <v>346966</v>
      </c>
      <c r="J75" s="194">
        <f aca="true" t="shared" si="65" ref="J75:Q75">SUM(J76)</f>
        <v>0</v>
      </c>
      <c r="K75" s="194">
        <f t="shared" si="65"/>
        <v>0</v>
      </c>
      <c r="L75" s="194">
        <f t="shared" si="65"/>
        <v>0</v>
      </c>
      <c r="M75" s="194">
        <f t="shared" si="65"/>
        <v>0</v>
      </c>
      <c r="N75" s="194">
        <f t="shared" si="65"/>
        <v>0</v>
      </c>
      <c r="O75" s="194">
        <f t="shared" si="65"/>
        <v>0</v>
      </c>
      <c r="P75" s="194">
        <f t="shared" si="65"/>
        <v>0</v>
      </c>
      <c r="Q75" s="194">
        <f t="shared" si="65"/>
        <v>0</v>
      </c>
      <c r="R75" s="64" t="s">
        <v>279</v>
      </c>
      <c r="S75" s="158"/>
      <c r="T75" s="173" t="s">
        <v>113</v>
      </c>
      <c r="U75" s="174" t="s">
        <v>587</v>
      </c>
      <c r="V75" s="174"/>
      <c r="W75" s="174"/>
      <c r="X75" s="174"/>
      <c r="Y75" s="175"/>
      <c r="Z75" s="194">
        <f aca="true" t="shared" si="66" ref="Z75:AG75">SUM(Z76)</f>
        <v>0</v>
      </c>
      <c r="AA75" s="194">
        <f t="shared" si="66"/>
        <v>0</v>
      </c>
      <c r="AB75" s="194">
        <f t="shared" si="66"/>
        <v>0</v>
      </c>
      <c r="AC75" s="194">
        <f t="shared" si="66"/>
        <v>0</v>
      </c>
      <c r="AD75" s="194">
        <f t="shared" si="66"/>
        <v>0</v>
      </c>
      <c r="AE75" s="194">
        <f t="shared" si="66"/>
        <v>0</v>
      </c>
      <c r="AF75" s="194">
        <f t="shared" si="66"/>
        <v>0</v>
      </c>
      <c r="AG75" s="194">
        <f t="shared" si="66"/>
        <v>0</v>
      </c>
      <c r="AH75" s="254">
        <f t="shared" si="50"/>
        <v>346966</v>
      </c>
      <c r="AI75" s="64" t="s">
        <v>355</v>
      </c>
      <c r="AJ75" s="158"/>
      <c r="AK75" s="173" t="s">
        <v>113</v>
      </c>
      <c r="AL75" s="174" t="s">
        <v>587</v>
      </c>
      <c r="AM75" s="174"/>
      <c r="AN75" s="174"/>
      <c r="AO75" s="174"/>
      <c r="AP75" s="175"/>
      <c r="AQ75" s="194">
        <f>SUM(AQ76)</f>
        <v>0</v>
      </c>
      <c r="AR75" s="194"/>
      <c r="AS75" s="194"/>
      <c r="AT75" s="194"/>
      <c r="AU75" s="194"/>
      <c r="AV75" s="194"/>
      <c r="AW75" s="194"/>
      <c r="AX75" s="194"/>
      <c r="AY75" s="194"/>
      <c r="AZ75" s="64" t="s">
        <v>430</v>
      </c>
      <c r="BA75" s="158"/>
      <c r="BB75" s="173" t="s">
        <v>113</v>
      </c>
      <c r="BC75" s="174" t="s">
        <v>587</v>
      </c>
      <c r="BD75" s="174"/>
      <c r="BE75" s="174"/>
      <c r="BF75" s="174"/>
      <c r="BG75" s="174"/>
      <c r="BH75" s="240"/>
      <c r="BI75" s="260"/>
      <c r="BJ75" s="254">
        <f t="shared" si="48"/>
        <v>0</v>
      </c>
      <c r="BK75" s="240">
        <f t="shared" si="49"/>
        <v>346966</v>
      </c>
    </row>
    <row r="76" spans="1:63" s="110" customFormat="1" ht="15" customHeight="1" thickBot="1">
      <c r="A76" s="64" t="s">
        <v>179</v>
      </c>
      <c r="B76" s="109"/>
      <c r="C76" s="95"/>
      <c r="D76" s="129" t="s">
        <v>698</v>
      </c>
      <c r="E76" s="107" t="s">
        <v>718</v>
      </c>
      <c r="F76" s="107"/>
      <c r="G76" s="107"/>
      <c r="H76" s="107"/>
      <c r="I76" s="108">
        <f>'2. melléklet'!DA75</f>
        <v>346966</v>
      </c>
      <c r="J76" s="206">
        <f>'2. melléklet'!J75+'2. melléklet'!AN75+'2. melléklet'!AO75+'2. melléklet'!AP75+'2. melléklet'!BE75+'2. melléklet'!BF75+'2. melléklet'!BG75+'3. melléklet'!O75+'3. melléklet'!P75+'3. melléklet'!Y75+'4. melléklet'!I75</f>
        <v>0</v>
      </c>
      <c r="K76" s="206"/>
      <c r="L76" s="206">
        <f>'2. melléklet'!AC75+'2. melléklet'!AQ75</f>
        <v>0</v>
      </c>
      <c r="M76" s="206">
        <f>SUM('4. melléklet'!J75:L75)</f>
        <v>0</v>
      </c>
      <c r="N76" s="206">
        <f>'4. melléklet'!N75</f>
        <v>0</v>
      </c>
      <c r="O76" s="206">
        <f>'4. melléklet'!M75+'2. melléklet'!BR75+'2. melléklet'!BS75+'2. melléklet'!CK75+'2. melléklet'!CW75</f>
        <v>0</v>
      </c>
      <c r="P76" s="206">
        <f>'2. melléklet'!K75+'3. melléklet'!J75</f>
        <v>0</v>
      </c>
      <c r="Q76" s="206"/>
      <c r="R76" s="64" t="s">
        <v>280</v>
      </c>
      <c r="S76" s="109"/>
      <c r="T76" s="95"/>
      <c r="U76" s="129" t="s">
        <v>698</v>
      </c>
      <c r="V76" s="107" t="s">
        <v>718</v>
      </c>
      <c r="W76" s="107"/>
      <c r="X76" s="107"/>
      <c r="Y76" s="214"/>
      <c r="Z76" s="206">
        <f>'2. melléklet'!BD75+'2. melléklet'!AR75</f>
        <v>0</v>
      </c>
      <c r="AA76" s="206"/>
      <c r="AB76" s="206">
        <f>'3. melléklet'!I75+'3. melléklet'!K75+'3. melléklet'!L75+'3. melléklet'!M75+'2. melléklet'!I75+'2. melléklet'!L75+'2. melléklet'!M75+'2. melléklet'!O75</f>
        <v>0</v>
      </c>
      <c r="AC76" s="206"/>
      <c r="AD76" s="206"/>
      <c r="AE76" s="206"/>
      <c r="AF76" s="206"/>
      <c r="AG76" s="206"/>
      <c r="AH76" s="254">
        <f t="shared" si="50"/>
        <v>346966</v>
      </c>
      <c r="AI76" s="64" t="s">
        <v>356</v>
      </c>
      <c r="AJ76" s="109"/>
      <c r="AK76" s="95"/>
      <c r="AL76" s="129" t="s">
        <v>698</v>
      </c>
      <c r="AM76" s="107" t="s">
        <v>718</v>
      </c>
      <c r="AN76" s="107"/>
      <c r="AO76" s="107"/>
      <c r="AP76" s="214"/>
      <c r="AQ76" s="206"/>
      <c r="AR76" s="206">
        <f>'2. melléklet'!N75</f>
        <v>0</v>
      </c>
      <c r="AS76" s="206"/>
      <c r="AT76" s="206"/>
      <c r="AU76" s="206"/>
      <c r="AV76" s="206"/>
      <c r="AW76" s="206"/>
      <c r="AX76" s="206"/>
      <c r="AY76" s="206"/>
      <c r="AZ76" s="64" t="s">
        <v>431</v>
      </c>
      <c r="BA76" s="109"/>
      <c r="BB76" s="95"/>
      <c r="BC76" s="129" t="s">
        <v>698</v>
      </c>
      <c r="BD76" s="107" t="s">
        <v>718</v>
      </c>
      <c r="BE76" s="107"/>
      <c r="BF76" s="107"/>
      <c r="BG76" s="107"/>
      <c r="BH76" s="108"/>
      <c r="BI76" s="206"/>
      <c r="BJ76" s="254">
        <f t="shared" si="48"/>
        <v>0</v>
      </c>
      <c r="BK76" s="206">
        <f t="shared" si="49"/>
        <v>346966</v>
      </c>
    </row>
    <row r="77" spans="1:63" s="134" customFormat="1" ht="15" customHeight="1" thickBot="1">
      <c r="A77" s="64" t="s">
        <v>180</v>
      </c>
      <c r="B77" s="195"/>
      <c r="C77" s="196" t="s">
        <v>588</v>
      </c>
      <c r="D77" s="197" t="s">
        <v>593</v>
      </c>
      <c r="E77" s="198"/>
      <c r="F77" s="198"/>
      <c r="G77" s="198"/>
      <c r="H77" s="198"/>
      <c r="I77" s="199"/>
      <c r="J77" s="211"/>
      <c r="K77" s="211"/>
      <c r="L77" s="211"/>
      <c r="M77" s="211"/>
      <c r="N77" s="211"/>
      <c r="O77" s="211"/>
      <c r="P77" s="211"/>
      <c r="Q77" s="211"/>
      <c r="R77" s="64" t="s">
        <v>281</v>
      </c>
      <c r="S77" s="195"/>
      <c r="T77" s="196" t="s">
        <v>588</v>
      </c>
      <c r="U77" s="197" t="s">
        <v>593</v>
      </c>
      <c r="V77" s="198"/>
      <c r="W77" s="198"/>
      <c r="X77" s="198"/>
      <c r="Y77" s="222"/>
      <c r="Z77" s="211"/>
      <c r="AA77" s="211"/>
      <c r="AB77" s="211"/>
      <c r="AC77" s="211"/>
      <c r="AD77" s="211"/>
      <c r="AE77" s="211"/>
      <c r="AF77" s="211"/>
      <c r="AG77" s="211"/>
      <c r="AH77" s="254">
        <f t="shared" si="50"/>
        <v>0</v>
      </c>
      <c r="AI77" s="64" t="s">
        <v>357</v>
      </c>
      <c r="AJ77" s="195"/>
      <c r="AK77" s="196" t="s">
        <v>588</v>
      </c>
      <c r="AL77" s="197" t="s">
        <v>593</v>
      </c>
      <c r="AM77" s="198"/>
      <c r="AN77" s="198"/>
      <c r="AO77" s="198"/>
      <c r="AP77" s="222"/>
      <c r="AQ77" s="211"/>
      <c r="AR77" s="211"/>
      <c r="AS77" s="211"/>
      <c r="AT77" s="211"/>
      <c r="AU77" s="211"/>
      <c r="AV77" s="211"/>
      <c r="AW77" s="211"/>
      <c r="AX77" s="211"/>
      <c r="AY77" s="211"/>
      <c r="AZ77" s="64" t="s">
        <v>432</v>
      </c>
      <c r="BA77" s="195"/>
      <c r="BB77" s="196" t="s">
        <v>588</v>
      </c>
      <c r="BC77" s="197" t="s">
        <v>593</v>
      </c>
      <c r="BD77" s="198"/>
      <c r="BE77" s="198"/>
      <c r="BF77" s="198"/>
      <c r="BG77" s="198"/>
      <c r="BH77" s="263"/>
      <c r="BI77" s="241"/>
      <c r="BJ77" s="254">
        <f t="shared" si="48"/>
        <v>0</v>
      </c>
      <c r="BK77" s="241">
        <f t="shared" si="49"/>
        <v>0</v>
      </c>
    </row>
    <row r="78" spans="1:63" s="157" customFormat="1" ht="16.5" thickBot="1">
      <c r="A78" s="64" t="s">
        <v>181</v>
      </c>
      <c r="B78" s="154" t="s">
        <v>584</v>
      </c>
      <c r="C78" s="155" t="s">
        <v>118</v>
      </c>
      <c r="D78" s="170"/>
      <c r="E78" s="170"/>
      <c r="F78" s="155"/>
      <c r="G78" s="155"/>
      <c r="H78" s="176"/>
      <c r="I78" s="156"/>
      <c r="J78" s="156"/>
      <c r="K78" s="156"/>
      <c r="L78" s="156"/>
      <c r="M78" s="156"/>
      <c r="N78" s="156"/>
      <c r="O78" s="156"/>
      <c r="P78" s="156"/>
      <c r="Q78" s="156"/>
      <c r="R78" s="64" t="s">
        <v>282</v>
      </c>
      <c r="S78" s="154" t="s">
        <v>584</v>
      </c>
      <c r="T78" s="155" t="s">
        <v>118</v>
      </c>
      <c r="U78" s="170"/>
      <c r="V78" s="170"/>
      <c r="W78" s="155"/>
      <c r="X78" s="155"/>
      <c r="Y78" s="176"/>
      <c r="Z78" s="156"/>
      <c r="AA78" s="156"/>
      <c r="AB78" s="156"/>
      <c r="AC78" s="156"/>
      <c r="AD78" s="156"/>
      <c r="AE78" s="156"/>
      <c r="AF78" s="156"/>
      <c r="AG78" s="156"/>
      <c r="AH78" s="254">
        <f t="shared" si="50"/>
        <v>0</v>
      </c>
      <c r="AI78" s="64" t="s">
        <v>358</v>
      </c>
      <c r="AJ78" s="154" t="s">
        <v>584</v>
      </c>
      <c r="AK78" s="155" t="s">
        <v>118</v>
      </c>
      <c r="AL78" s="170"/>
      <c r="AM78" s="170"/>
      <c r="AN78" s="155"/>
      <c r="AO78" s="155"/>
      <c r="AP78" s="176"/>
      <c r="AQ78" s="156"/>
      <c r="AR78" s="156"/>
      <c r="AS78" s="156"/>
      <c r="AT78" s="156"/>
      <c r="AU78" s="156"/>
      <c r="AV78" s="156"/>
      <c r="AW78" s="156"/>
      <c r="AX78" s="156"/>
      <c r="AY78" s="156"/>
      <c r="AZ78" s="64" t="s">
        <v>433</v>
      </c>
      <c r="BA78" s="154" t="s">
        <v>584</v>
      </c>
      <c r="BB78" s="155" t="s">
        <v>118</v>
      </c>
      <c r="BC78" s="170"/>
      <c r="BD78" s="170"/>
      <c r="BE78" s="155"/>
      <c r="BF78" s="155"/>
      <c r="BG78" s="155"/>
      <c r="BH78" s="238"/>
      <c r="BI78" s="261"/>
      <c r="BJ78" s="254">
        <f t="shared" si="48"/>
        <v>0</v>
      </c>
      <c r="BK78" s="238">
        <f t="shared" si="49"/>
        <v>0</v>
      </c>
    </row>
    <row r="79" spans="1:63" s="150" customFormat="1" ht="30" customHeight="1" thickBot="1">
      <c r="A79" s="64" t="s">
        <v>182</v>
      </c>
      <c r="B79" s="177" t="s">
        <v>595</v>
      </c>
      <c r="C79" s="178"/>
      <c r="D79" s="179"/>
      <c r="E79" s="179"/>
      <c r="F79" s="179"/>
      <c r="G79" s="179"/>
      <c r="H79" s="179"/>
      <c r="I79" s="180">
        <f>SUM(I73,I74,I78)</f>
        <v>1480160</v>
      </c>
      <c r="J79" s="180">
        <f aca="true" t="shared" si="67" ref="J79:Q79">SUM(J73,J74,J78)</f>
        <v>696349</v>
      </c>
      <c r="K79" s="180">
        <f t="shared" si="67"/>
        <v>10192</v>
      </c>
      <c r="L79" s="180">
        <f t="shared" si="67"/>
        <v>55540</v>
      </c>
      <c r="M79" s="180">
        <f t="shared" si="67"/>
        <v>456587</v>
      </c>
      <c r="N79" s="180">
        <f t="shared" si="67"/>
        <v>122346</v>
      </c>
      <c r="O79" s="180">
        <f t="shared" si="67"/>
        <v>242956</v>
      </c>
      <c r="P79" s="180">
        <f t="shared" si="67"/>
        <v>1170451</v>
      </c>
      <c r="Q79" s="180">
        <f t="shared" si="67"/>
        <v>25869</v>
      </c>
      <c r="R79" s="64" t="s">
        <v>283</v>
      </c>
      <c r="S79" s="177" t="s">
        <v>595</v>
      </c>
      <c r="T79" s="178"/>
      <c r="U79" s="179"/>
      <c r="V79" s="179"/>
      <c r="W79" s="179"/>
      <c r="X79" s="179"/>
      <c r="Y79" s="179"/>
      <c r="Z79" s="180">
        <f>SUM(Z73,Z74,Z78)</f>
        <v>54574</v>
      </c>
      <c r="AA79" s="180">
        <f>SUM(AA73,AA74,AA78)</f>
        <v>93990</v>
      </c>
      <c r="AB79" s="180">
        <f aca="true" t="shared" si="68" ref="AB79:AG79">SUM(AB73,AB74,AB78)</f>
        <v>965741</v>
      </c>
      <c r="AC79" s="180">
        <f t="shared" si="68"/>
        <v>51108</v>
      </c>
      <c r="AD79" s="180">
        <f>SUM(AD73,AD74,AD78)</f>
        <v>31966</v>
      </c>
      <c r="AE79" s="180">
        <f>SUM(AE73,AE74,AE78)</f>
        <v>52839</v>
      </c>
      <c r="AF79" s="180">
        <f>SUM(AF73,AF74,AF78)</f>
        <v>21650</v>
      </c>
      <c r="AG79" s="180">
        <f t="shared" si="68"/>
        <v>3596</v>
      </c>
      <c r="AH79" s="254">
        <f t="shared" si="50"/>
        <v>5535914</v>
      </c>
      <c r="AI79" s="64" t="s">
        <v>359</v>
      </c>
      <c r="AJ79" s="177" t="s">
        <v>595</v>
      </c>
      <c r="AK79" s="178"/>
      <c r="AL79" s="179"/>
      <c r="AM79" s="179"/>
      <c r="AN79" s="179"/>
      <c r="AO79" s="179"/>
      <c r="AP79" s="179"/>
      <c r="AQ79" s="180">
        <f aca="true" t="shared" si="69" ref="AQ79:AY79">SUM(AQ73,AQ74,AQ78)</f>
        <v>85882</v>
      </c>
      <c r="AR79" s="180">
        <f t="shared" si="69"/>
        <v>52505</v>
      </c>
      <c r="AS79" s="180">
        <f t="shared" si="69"/>
        <v>69464</v>
      </c>
      <c r="AT79" s="180">
        <f t="shared" si="69"/>
        <v>11142</v>
      </c>
      <c r="AU79" s="180">
        <f t="shared" si="69"/>
        <v>0</v>
      </c>
      <c r="AV79" s="180">
        <f t="shared" si="69"/>
        <v>10556</v>
      </c>
      <c r="AW79" s="180">
        <f t="shared" si="69"/>
        <v>5000</v>
      </c>
      <c r="AX79" s="180">
        <f t="shared" si="69"/>
        <v>3792</v>
      </c>
      <c r="AY79" s="180">
        <f t="shared" si="69"/>
        <v>6230</v>
      </c>
      <c r="AZ79" s="64" t="s">
        <v>434</v>
      </c>
      <c r="BA79" s="177" t="s">
        <v>595</v>
      </c>
      <c r="BB79" s="178"/>
      <c r="BC79" s="179"/>
      <c r="BD79" s="179"/>
      <c r="BE79" s="179"/>
      <c r="BF79" s="179"/>
      <c r="BG79" s="179"/>
      <c r="BH79" s="242">
        <f>SUM(BH73,BH74,BH78)</f>
        <v>8000</v>
      </c>
      <c r="BI79" s="262">
        <f>SUM(BI73,BI74,BI78)</f>
        <v>450</v>
      </c>
      <c r="BJ79" s="254">
        <f t="shared" si="48"/>
        <v>253021</v>
      </c>
      <c r="BK79" s="180">
        <f t="shared" si="49"/>
        <v>5788935</v>
      </c>
    </row>
  </sheetData>
  <sheetProtection/>
  <mergeCells count="37">
    <mergeCell ref="E4:H4"/>
    <mergeCell ref="V4:Y4"/>
    <mergeCell ref="AM4:AP4"/>
    <mergeCell ref="B5:Q5"/>
    <mergeCell ref="S5:AH5"/>
    <mergeCell ref="S6:Y7"/>
    <mergeCell ref="Z6:AH6"/>
    <mergeCell ref="B51:H51"/>
    <mergeCell ref="S51:Y51"/>
    <mergeCell ref="B53:H53"/>
    <mergeCell ref="S53:Y53"/>
    <mergeCell ref="B6:H7"/>
    <mergeCell ref="I6:Q6"/>
    <mergeCell ref="E10:H10"/>
    <mergeCell ref="V10:Y10"/>
    <mergeCell ref="B42:H42"/>
    <mergeCell ref="S42:Y42"/>
    <mergeCell ref="BH6:BJ6"/>
    <mergeCell ref="AM10:AP10"/>
    <mergeCell ref="C43:H43"/>
    <mergeCell ref="T43:Y43"/>
    <mergeCell ref="BD4:BG4"/>
    <mergeCell ref="BD10:BG10"/>
    <mergeCell ref="BA42:BG42"/>
    <mergeCell ref="BB43:BG43"/>
    <mergeCell ref="AJ42:AP42"/>
    <mergeCell ref="AK43:AP43"/>
    <mergeCell ref="AJ51:AP51"/>
    <mergeCell ref="AJ53:AP53"/>
    <mergeCell ref="BA51:BG51"/>
    <mergeCell ref="BK6:BK7"/>
    <mergeCell ref="BA5:BK5"/>
    <mergeCell ref="BA53:BG53"/>
    <mergeCell ref="AJ5:AY5"/>
    <mergeCell ref="AJ6:AP7"/>
    <mergeCell ref="AQ6:AY6"/>
    <mergeCell ref="BA6:BG7"/>
  </mergeCells>
  <printOptions horizontalCentered="1"/>
  <pageMargins left="0.7086614173228347" right="0.7086614173228347" top="0.7480314960629921" bottom="0.7480314960629921" header="0.31496062992125984" footer="0.31496062992125984"/>
  <pageSetup horizontalDpi="600" verticalDpi="600" orientation="portrait" paperSize="8" scale="47" r:id="rId1"/>
  <headerFooter>
    <oddFooter>&amp;L&amp;D&amp;C&amp;P</oddFooter>
  </headerFooter>
  <colBreaks count="3" manualBreakCount="3">
    <brk id="17" max="100" man="1"/>
    <brk id="34" max="77" man="1"/>
    <brk id="51" max="77" man="1"/>
  </colBreaks>
</worksheet>
</file>

<file path=xl/worksheets/sheet11.xml><?xml version="1.0" encoding="utf-8"?>
<worksheet xmlns="http://schemas.openxmlformats.org/spreadsheetml/2006/main" xmlns:r="http://schemas.openxmlformats.org/officeDocument/2006/relationships">
  <dimension ref="A1:D54"/>
  <sheetViews>
    <sheetView view="pageBreakPreview" zoomScaleSheetLayoutView="100" zoomScalePageLayoutView="0" workbookViewId="0" topLeftCell="A1">
      <selection activeCell="D2" sqref="D2"/>
    </sheetView>
  </sheetViews>
  <sheetFormatPr defaultColWidth="9.140625" defaultRowHeight="24.75" customHeight="1"/>
  <cols>
    <col min="1" max="1" width="5.7109375" style="22" customWidth="1"/>
    <col min="2" max="2" width="10.7109375" style="23" customWidth="1"/>
    <col min="3" max="3" width="60.7109375" style="23" customWidth="1"/>
    <col min="4" max="4" width="20.7109375" style="23" customWidth="1"/>
    <col min="5" max="16384" width="9.140625" style="23" customWidth="1"/>
  </cols>
  <sheetData>
    <row r="1" ht="24.75" customHeight="1">
      <c r="D1" s="68" t="s">
        <v>1403</v>
      </c>
    </row>
    <row r="2" ht="24.75" customHeight="1">
      <c r="D2" s="68"/>
    </row>
    <row r="3" spans="2:4" ht="24.75" customHeight="1">
      <c r="B3" s="391" t="s">
        <v>83</v>
      </c>
      <c r="C3" s="391"/>
      <c r="D3" s="391"/>
    </row>
    <row r="4" spans="2:4" ht="24.75" customHeight="1">
      <c r="B4" s="71"/>
      <c r="C4" s="71"/>
      <c r="D4" s="71"/>
    </row>
    <row r="5" ht="19.5" customHeight="1" thickBot="1">
      <c r="D5" s="69" t="s">
        <v>8</v>
      </c>
    </row>
    <row r="6" spans="1:4" ht="19.5" customHeight="1" thickBot="1">
      <c r="A6" s="24"/>
      <c r="B6" s="392" t="s">
        <v>9</v>
      </c>
      <c r="C6" s="393"/>
      <c r="D6" s="25" t="s">
        <v>10</v>
      </c>
    </row>
    <row r="7" spans="1:4" ht="19.5" customHeight="1">
      <c r="A7" s="26"/>
      <c r="B7" s="394" t="s">
        <v>84</v>
      </c>
      <c r="C7" s="396" t="s">
        <v>85</v>
      </c>
      <c r="D7" s="398" t="s">
        <v>639</v>
      </c>
    </row>
    <row r="8" spans="1:4" ht="13.5" thickBot="1">
      <c r="A8" s="27"/>
      <c r="B8" s="395"/>
      <c r="C8" s="397"/>
      <c r="D8" s="399"/>
    </row>
    <row r="9" spans="1:4" s="31" customFormat="1" ht="19.5" customHeight="1">
      <c r="A9" s="28" t="s">
        <v>20</v>
      </c>
      <c r="B9" s="29" t="s">
        <v>86</v>
      </c>
      <c r="C9" s="29"/>
      <c r="D9" s="30">
        <f>SUM(D10:D15)</f>
        <v>14768</v>
      </c>
    </row>
    <row r="10" spans="1:4" ht="19.5" customHeight="1">
      <c r="A10" s="32" t="s">
        <v>21</v>
      </c>
      <c r="B10" s="33">
        <v>1</v>
      </c>
      <c r="C10" s="34" t="s">
        <v>87</v>
      </c>
      <c r="D10" s="35">
        <v>5766</v>
      </c>
    </row>
    <row r="11" spans="1:4" ht="19.5" customHeight="1">
      <c r="A11" s="32" t="s">
        <v>22</v>
      </c>
      <c r="B11" s="33">
        <v>2</v>
      </c>
      <c r="C11" s="34" t="s">
        <v>872</v>
      </c>
      <c r="D11" s="35">
        <v>5500</v>
      </c>
    </row>
    <row r="12" spans="1:4" ht="19.5" customHeight="1">
      <c r="A12" s="32" t="s">
        <v>23</v>
      </c>
      <c r="B12" s="76">
        <v>3</v>
      </c>
      <c r="C12" s="77" t="s">
        <v>529</v>
      </c>
      <c r="D12" s="35">
        <v>0</v>
      </c>
    </row>
    <row r="13" spans="1:4" ht="19.5" customHeight="1">
      <c r="A13" s="32" t="s">
        <v>24</v>
      </c>
      <c r="B13" s="81">
        <v>4</v>
      </c>
      <c r="C13" s="80" t="s">
        <v>561</v>
      </c>
      <c r="D13" s="35">
        <v>0</v>
      </c>
    </row>
    <row r="14" spans="1:4" ht="19.5" customHeight="1">
      <c r="A14" s="32" t="s">
        <v>25</v>
      </c>
      <c r="B14" s="81">
        <v>5</v>
      </c>
      <c r="C14" s="93" t="s">
        <v>873</v>
      </c>
      <c r="D14" s="35">
        <v>0</v>
      </c>
    </row>
    <row r="15" spans="1:4" ht="19.5" customHeight="1">
      <c r="A15" s="32" t="s">
        <v>26</v>
      </c>
      <c r="B15" s="81">
        <v>6</v>
      </c>
      <c r="C15" s="93" t="s">
        <v>874</v>
      </c>
      <c r="D15" s="35">
        <v>3502</v>
      </c>
    </row>
    <row r="16" spans="1:4" s="31" customFormat="1" ht="19.5" customHeight="1">
      <c r="A16" s="32" t="s">
        <v>28</v>
      </c>
      <c r="B16" s="400" t="s">
        <v>88</v>
      </c>
      <c r="C16" s="400"/>
      <c r="D16" s="36">
        <f>SUM(D17:D33)</f>
        <v>360876</v>
      </c>
    </row>
    <row r="17" spans="1:4" s="38" customFormat="1" ht="19.5" customHeight="1">
      <c r="A17" s="32" t="s">
        <v>29</v>
      </c>
      <c r="B17" s="33">
        <v>7</v>
      </c>
      <c r="C17" s="37" t="s">
        <v>52</v>
      </c>
      <c r="D17" s="35">
        <v>30000</v>
      </c>
    </row>
    <row r="18" spans="1:4" ht="19.5" customHeight="1">
      <c r="A18" s="32" t="s">
        <v>30</v>
      </c>
      <c r="B18" s="33">
        <v>8</v>
      </c>
      <c r="C18" s="39" t="s">
        <v>218</v>
      </c>
      <c r="D18" s="40">
        <v>70320</v>
      </c>
    </row>
    <row r="19" spans="1:4" ht="19.5" customHeight="1">
      <c r="A19" s="32" t="s">
        <v>31</v>
      </c>
      <c r="B19" s="33">
        <v>9</v>
      </c>
      <c r="C19" s="39" t="s">
        <v>875</v>
      </c>
      <c r="D19" s="40">
        <v>0</v>
      </c>
    </row>
    <row r="20" spans="1:4" ht="19.5" customHeight="1">
      <c r="A20" s="32" t="s">
        <v>32</v>
      </c>
      <c r="B20" s="33">
        <v>10</v>
      </c>
      <c r="C20" s="39" t="s">
        <v>219</v>
      </c>
      <c r="D20" s="40">
        <v>0</v>
      </c>
    </row>
    <row r="21" spans="1:4" ht="19.5" customHeight="1">
      <c r="A21" s="32" t="s">
        <v>33</v>
      </c>
      <c r="B21" s="33">
        <v>11</v>
      </c>
      <c r="C21" s="39" t="s">
        <v>876</v>
      </c>
      <c r="D21" s="40">
        <v>4390</v>
      </c>
    </row>
    <row r="22" spans="1:4" ht="19.5" customHeight="1">
      <c r="A22" s="32" t="s">
        <v>34</v>
      </c>
      <c r="B22" s="33">
        <v>12</v>
      </c>
      <c r="C22" s="39" t="s">
        <v>877</v>
      </c>
      <c r="D22" s="40">
        <v>55000</v>
      </c>
    </row>
    <row r="23" spans="1:4" ht="19.5" customHeight="1">
      <c r="A23" s="32" t="s">
        <v>35</v>
      </c>
      <c r="B23" s="33">
        <v>13</v>
      </c>
      <c r="C23" s="39" t="s">
        <v>878</v>
      </c>
      <c r="D23" s="40">
        <v>0</v>
      </c>
    </row>
    <row r="24" spans="1:4" ht="19.5" customHeight="1">
      <c r="A24" s="32" t="s">
        <v>36</v>
      </c>
      <c r="B24" s="33">
        <v>14</v>
      </c>
      <c r="C24" s="39" t="s">
        <v>879</v>
      </c>
      <c r="D24" s="40">
        <v>30000</v>
      </c>
    </row>
    <row r="25" spans="1:4" ht="19.5" customHeight="1">
      <c r="A25" s="32" t="s">
        <v>37</v>
      </c>
      <c r="B25" s="33">
        <v>15</v>
      </c>
      <c r="C25" s="39" t="s">
        <v>880</v>
      </c>
      <c r="D25" s="40">
        <v>20000</v>
      </c>
    </row>
    <row r="26" spans="1:4" ht="19.5" customHeight="1">
      <c r="A26" s="32" t="s">
        <v>38</v>
      </c>
      <c r="B26" s="33">
        <v>16</v>
      </c>
      <c r="C26" s="39" t="s">
        <v>881</v>
      </c>
      <c r="D26" s="40">
        <v>0</v>
      </c>
    </row>
    <row r="27" spans="1:4" ht="19.5" customHeight="1">
      <c r="A27" s="32" t="s">
        <v>39</v>
      </c>
      <c r="B27" s="33">
        <v>17</v>
      </c>
      <c r="C27" s="39" t="s">
        <v>89</v>
      </c>
      <c r="D27" s="40">
        <v>0</v>
      </c>
    </row>
    <row r="28" spans="1:4" ht="19.5" customHeight="1">
      <c r="A28" s="32" t="s">
        <v>41</v>
      </c>
      <c r="B28" s="33">
        <v>18</v>
      </c>
      <c r="C28" s="39" t="s">
        <v>970</v>
      </c>
      <c r="D28" s="40">
        <v>0</v>
      </c>
    </row>
    <row r="29" spans="1:4" ht="19.5" customHeight="1">
      <c r="A29" s="248" t="s">
        <v>42</v>
      </c>
      <c r="B29" s="33">
        <v>18</v>
      </c>
      <c r="C29" s="39" t="s">
        <v>220</v>
      </c>
      <c r="D29" s="40">
        <v>0</v>
      </c>
    </row>
    <row r="30" spans="1:4" ht="19.5" customHeight="1">
      <c r="A30" s="248" t="s">
        <v>44</v>
      </c>
      <c r="B30" s="33">
        <v>20</v>
      </c>
      <c r="C30" s="39" t="s">
        <v>234</v>
      </c>
      <c r="D30" s="40">
        <v>0</v>
      </c>
    </row>
    <row r="31" spans="1:4" ht="19.5" customHeight="1">
      <c r="A31" s="248" t="s">
        <v>45</v>
      </c>
      <c r="B31" s="33">
        <v>21</v>
      </c>
      <c r="C31" s="39" t="s">
        <v>235</v>
      </c>
      <c r="D31" s="40">
        <v>0</v>
      </c>
    </row>
    <row r="32" spans="1:4" ht="19.5" customHeight="1">
      <c r="A32" s="248" t="s">
        <v>46</v>
      </c>
      <c r="B32" s="33">
        <v>22</v>
      </c>
      <c r="C32" s="39" t="s">
        <v>1377</v>
      </c>
      <c r="D32" s="40">
        <v>19166</v>
      </c>
    </row>
    <row r="33" spans="1:4" ht="19.5" customHeight="1">
      <c r="A33" s="248" t="s">
        <v>48</v>
      </c>
      <c r="B33" s="33">
        <v>23</v>
      </c>
      <c r="C33" s="39" t="s">
        <v>1378</v>
      </c>
      <c r="D33" s="40">
        <v>132000</v>
      </c>
    </row>
    <row r="34" spans="1:4" ht="24.75" customHeight="1" thickBot="1">
      <c r="A34" s="48" t="s">
        <v>49</v>
      </c>
      <c r="B34" s="41"/>
      <c r="C34" s="42" t="s">
        <v>90</v>
      </c>
      <c r="D34" s="43">
        <f>SUM(D9,D16)</f>
        <v>375644</v>
      </c>
    </row>
    <row r="35" spans="1:4" ht="19.5" customHeight="1" thickBot="1">
      <c r="A35" s="72"/>
      <c r="B35" s="44"/>
      <c r="C35" s="44"/>
      <c r="D35" s="44"/>
    </row>
    <row r="36" spans="1:4" ht="24.75" customHeight="1" thickBot="1">
      <c r="A36" s="73" t="s">
        <v>50</v>
      </c>
      <c r="B36" s="45"/>
      <c r="C36" s="46" t="s">
        <v>91</v>
      </c>
      <c r="D36" s="47">
        <v>15558</v>
      </c>
    </row>
    <row r="37" spans="1:4" ht="19.5" customHeight="1" thickBot="1">
      <c r="A37" s="72"/>
      <c r="B37" s="44"/>
      <c r="C37" s="44"/>
      <c r="D37" s="44"/>
    </row>
    <row r="38" spans="1:4" ht="24.75" customHeight="1" thickBot="1">
      <c r="A38" s="73" t="s">
        <v>51</v>
      </c>
      <c r="B38" s="49"/>
      <c r="C38" s="46" t="s">
        <v>92</v>
      </c>
      <c r="D38" s="47">
        <f>D34+D36</f>
        <v>391202</v>
      </c>
    </row>
    <row r="39" ht="12.75"/>
    <row r="40" spans="2:3" ht="24.75" customHeight="1">
      <c r="B40" s="390"/>
      <c r="C40" s="390"/>
    </row>
    <row r="41" spans="3:4" ht="12.75">
      <c r="C41" s="50"/>
      <c r="D41" s="51"/>
    </row>
    <row r="42" spans="3:4" ht="12.75">
      <c r="C42" s="50"/>
      <c r="D42" s="51"/>
    </row>
    <row r="43" spans="3:4" ht="12.75">
      <c r="C43" s="50"/>
      <c r="D43" s="51"/>
    </row>
    <row r="44" spans="3:4" ht="12.75">
      <c r="C44" s="38"/>
      <c r="D44" s="51"/>
    </row>
    <row r="45" spans="3:4" ht="12.75">
      <c r="C45" s="38"/>
      <c r="D45" s="51"/>
    </row>
    <row r="46" spans="3:4" ht="12.75">
      <c r="C46" s="38"/>
      <c r="D46" s="51"/>
    </row>
    <row r="47" spans="1:4" ht="12.75">
      <c r="A47" s="23"/>
      <c r="C47" s="38"/>
      <c r="D47" s="51"/>
    </row>
    <row r="48" spans="1:4" ht="12.75">
      <c r="A48" s="23"/>
      <c r="C48" s="38"/>
      <c r="D48" s="51"/>
    </row>
    <row r="49" spans="1:4" ht="12.75">
      <c r="A49" s="23"/>
      <c r="C49" s="38"/>
      <c r="D49" s="51"/>
    </row>
    <row r="50" spans="1:4" ht="12.75">
      <c r="A50" s="23"/>
      <c r="D50" s="52"/>
    </row>
    <row r="51" spans="1:4" ht="12.75">
      <c r="A51" s="23"/>
      <c r="D51" s="52"/>
    </row>
    <row r="52" ht="12.75">
      <c r="A52" s="23"/>
    </row>
    <row r="53" ht="12.75">
      <c r="A53" s="23"/>
    </row>
    <row r="54" ht="12.75">
      <c r="A54" s="23"/>
    </row>
  </sheetData>
  <sheetProtection/>
  <mergeCells count="7">
    <mergeCell ref="B40:C40"/>
    <mergeCell ref="B3:D3"/>
    <mergeCell ref="B6:C6"/>
    <mergeCell ref="B7:B8"/>
    <mergeCell ref="C7:C8"/>
    <mergeCell ref="D7:D8"/>
    <mergeCell ref="B16:C16"/>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38" min="1" max="3" man="1"/>
  </rowBreaks>
</worksheet>
</file>

<file path=xl/worksheets/sheet12.xml><?xml version="1.0" encoding="utf-8"?>
<worksheet xmlns="http://schemas.openxmlformats.org/spreadsheetml/2006/main" xmlns:r="http://schemas.openxmlformats.org/officeDocument/2006/relationships">
  <dimension ref="A1:L159"/>
  <sheetViews>
    <sheetView tabSelected="1" view="pageBreakPreview" zoomScaleSheetLayoutView="100" zoomScalePageLayoutView="0" workbookViewId="0" topLeftCell="A1">
      <selection activeCell="L2" sqref="L2"/>
    </sheetView>
  </sheetViews>
  <sheetFormatPr defaultColWidth="9.140625" defaultRowHeight="15"/>
  <cols>
    <col min="1" max="1" width="4.57421875" style="3" bestFit="1" customWidth="1"/>
    <col min="2" max="7" width="10.7109375" style="4" customWidth="1"/>
    <col min="8" max="12" width="13.7109375" style="4" customWidth="1"/>
    <col min="13" max="16384" width="9.140625" style="4" customWidth="1"/>
  </cols>
  <sheetData>
    <row r="1" ht="12.75">
      <c r="L1" s="3" t="s">
        <v>1404</v>
      </c>
    </row>
    <row r="2" ht="12.75">
      <c r="K2" s="3"/>
    </row>
    <row r="3" spans="1:12" ht="15.75">
      <c r="A3" s="418" t="s">
        <v>640</v>
      </c>
      <c r="B3" s="418"/>
      <c r="C3" s="418"/>
      <c r="D3" s="418"/>
      <c r="E3" s="418"/>
      <c r="F3" s="418"/>
      <c r="G3" s="418"/>
      <c r="H3" s="418"/>
      <c r="I3" s="418"/>
      <c r="J3" s="418"/>
      <c r="K3" s="418"/>
      <c r="L3" s="418"/>
    </row>
    <row r="4" spans="1:12" ht="15.75">
      <c r="A4" s="417" t="s">
        <v>954</v>
      </c>
      <c r="B4" s="417"/>
      <c r="C4" s="417"/>
      <c r="D4" s="417"/>
      <c r="E4" s="417"/>
      <c r="F4" s="417"/>
      <c r="G4" s="417"/>
      <c r="H4" s="417"/>
      <c r="I4" s="417"/>
      <c r="J4" s="417"/>
      <c r="K4" s="417"/>
      <c r="L4" s="417"/>
    </row>
    <row r="5" spans="1:12" ht="15.75">
      <c r="A5" s="417" t="s">
        <v>601</v>
      </c>
      <c r="B5" s="417"/>
      <c r="C5" s="417"/>
      <c r="D5" s="417"/>
      <c r="E5" s="417"/>
      <c r="F5" s="417"/>
      <c r="G5" s="417"/>
      <c r="H5" s="417"/>
      <c r="I5" s="417"/>
      <c r="J5" s="417"/>
      <c r="K5" s="417"/>
      <c r="L5" s="417"/>
    </row>
    <row r="6" spans="1:12" ht="15.75">
      <c r="A6" s="417" t="s">
        <v>602</v>
      </c>
      <c r="B6" s="417"/>
      <c r="C6" s="417"/>
      <c r="D6" s="417"/>
      <c r="E6" s="417"/>
      <c r="F6" s="417"/>
      <c r="G6" s="417"/>
      <c r="H6" s="417"/>
      <c r="I6" s="417"/>
      <c r="J6" s="417"/>
      <c r="K6" s="417"/>
      <c r="L6" s="417"/>
    </row>
    <row r="7" spans="1:11" ht="15.75">
      <c r="A7" s="74"/>
      <c r="B7" s="70"/>
      <c r="C7" s="70"/>
      <c r="D7" s="70"/>
      <c r="E7" s="70"/>
      <c r="F7" s="70"/>
      <c r="G7" s="70"/>
      <c r="H7" s="70"/>
      <c r="I7" s="70"/>
      <c r="J7" s="70"/>
      <c r="K7" s="70"/>
    </row>
    <row r="8" spans="11:12" ht="12.75">
      <c r="K8" s="82"/>
      <c r="L8" s="83" t="s">
        <v>8</v>
      </c>
    </row>
    <row r="9" spans="1:12" ht="12.75">
      <c r="A9" s="75"/>
      <c r="B9" s="435" t="s">
        <v>9</v>
      </c>
      <c r="C9" s="435"/>
      <c r="D9" s="435"/>
      <c r="E9" s="435"/>
      <c r="F9" s="435"/>
      <c r="G9" s="435"/>
      <c r="H9" s="78" t="s">
        <v>10</v>
      </c>
      <c r="I9" s="78" t="s">
        <v>11</v>
      </c>
      <c r="J9" s="78" t="s">
        <v>12</v>
      </c>
      <c r="K9" s="78" t="s">
        <v>13</v>
      </c>
      <c r="L9" s="84" t="s">
        <v>124</v>
      </c>
    </row>
    <row r="10" spans="1:12" s="6" customFormat="1" ht="52.5" customHeight="1">
      <c r="A10" s="75" t="s">
        <v>20</v>
      </c>
      <c r="B10" s="436" t="s">
        <v>14</v>
      </c>
      <c r="C10" s="437"/>
      <c r="D10" s="437"/>
      <c r="E10" s="437"/>
      <c r="F10" s="437"/>
      <c r="G10" s="438"/>
      <c r="H10" s="5" t="s">
        <v>15</v>
      </c>
      <c r="I10" s="79" t="s">
        <v>16</v>
      </c>
      <c r="J10" s="79" t="s">
        <v>560</v>
      </c>
      <c r="K10" s="5" t="s">
        <v>17</v>
      </c>
      <c r="L10" s="419" t="s">
        <v>98</v>
      </c>
    </row>
    <row r="11" spans="1:12" ht="12.75">
      <c r="A11" s="75" t="s">
        <v>21</v>
      </c>
      <c r="B11" s="7"/>
      <c r="C11" s="8"/>
      <c r="D11" s="8"/>
      <c r="E11" s="8"/>
      <c r="F11" s="8"/>
      <c r="G11" s="9"/>
      <c r="H11" s="444" t="s">
        <v>18</v>
      </c>
      <c r="I11" s="444"/>
      <c r="J11" s="444"/>
      <c r="K11" s="444"/>
      <c r="L11" s="420"/>
    </row>
    <row r="12" spans="1:12" s="6" customFormat="1" ht="25.5" customHeight="1">
      <c r="A12" s="75" t="s">
        <v>22</v>
      </c>
      <c r="B12" s="85"/>
      <c r="C12" s="86"/>
      <c r="D12" s="86"/>
      <c r="E12" s="86"/>
      <c r="F12" s="86"/>
      <c r="G12" s="87"/>
      <c r="H12" s="88" t="s">
        <v>19</v>
      </c>
      <c r="I12" s="439" t="s">
        <v>955</v>
      </c>
      <c r="J12" s="439"/>
      <c r="K12" s="440"/>
      <c r="L12" s="420"/>
    </row>
    <row r="13" spans="1:12" s="6" customFormat="1" ht="25.5" customHeight="1">
      <c r="A13" s="75" t="s">
        <v>23</v>
      </c>
      <c r="B13" s="421" t="s">
        <v>216</v>
      </c>
      <c r="C13" s="422"/>
      <c r="D13" s="422"/>
      <c r="E13" s="422"/>
      <c r="F13" s="422"/>
      <c r="G13" s="422"/>
      <c r="H13" s="422"/>
      <c r="I13" s="422"/>
      <c r="J13" s="422"/>
      <c r="K13" s="422"/>
      <c r="L13" s="423"/>
    </row>
    <row r="14" spans="1:12" ht="25.5" customHeight="1">
      <c r="A14" s="75" t="s">
        <v>24</v>
      </c>
      <c r="B14" s="401" t="s">
        <v>890</v>
      </c>
      <c r="C14" s="402"/>
      <c r="D14" s="402"/>
      <c r="E14" s="402"/>
      <c r="F14" s="402"/>
      <c r="G14" s="403"/>
      <c r="H14" s="10">
        <f>SUM(H15:H20)</f>
        <v>5110</v>
      </c>
      <c r="I14" s="10">
        <f>SUM(I15:I20)</f>
        <v>0</v>
      </c>
      <c r="J14" s="10">
        <f>SUM(J15:J20)</f>
        <v>0</v>
      </c>
      <c r="K14" s="10">
        <f>SUM(K15:K22)</f>
        <v>10464</v>
      </c>
      <c r="L14" s="10">
        <f>SUM(H14:K14)</f>
        <v>15574</v>
      </c>
    </row>
    <row r="15" spans="1:12" ht="12.75">
      <c r="A15" s="75" t="s">
        <v>25</v>
      </c>
      <c r="B15" s="404" t="s">
        <v>891</v>
      </c>
      <c r="C15" s="405"/>
      <c r="D15" s="405"/>
      <c r="E15" s="405"/>
      <c r="F15" s="405"/>
      <c r="G15" s="406"/>
      <c r="H15" s="11"/>
      <c r="I15" s="11"/>
      <c r="J15" s="11"/>
      <c r="K15" s="11">
        <v>3000</v>
      </c>
      <c r="L15" s="11">
        <f aca="true" t="shared" si="0" ref="L15:L65">SUM(H15:K15)</f>
        <v>3000</v>
      </c>
    </row>
    <row r="16" spans="1:12" ht="12.75">
      <c r="A16" s="75" t="s">
        <v>26</v>
      </c>
      <c r="B16" s="404" t="s">
        <v>892</v>
      </c>
      <c r="C16" s="405"/>
      <c r="D16" s="405"/>
      <c r="E16" s="405"/>
      <c r="F16" s="405"/>
      <c r="G16" s="406"/>
      <c r="H16" s="11">
        <v>5110</v>
      </c>
      <c r="I16" s="11"/>
      <c r="J16" s="11"/>
      <c r="K16" s="11"/>
      <c r="L16" s="11">
        <f t="shared" si="0"/>
        <v>5110</v>
      </c>
    </row>
    <row r="17" spans="1:12" ht="12.75">
      <c r="A17" s="75" t="s">
        <v>27</v>
      </c>
      <c r="B17" s="404" t="s">
        <v>893</v>
      </c>
      <c r="C17" s="405"/>
      <c r="D17" s="405"/>
      <c r="E17" s="405"/>
      <c r="F17" s="405"/>
      <c r="G17" s="406"/>
      <c r="H17" s="11"/>
      <c r="I17" s="11"/>
      <c r="J17" s="11"/>
      <c r="K17" s="11">
        <v>500</v>
      </c>
      <c r="L17" s="11">
        <f t="shared" si="0"/>
        <v>500</v>
      </c>
    </row>
    <row r="18" spans="1:12" ht="12.75">
      <c r="A18" s="75" t="s">
        <v>28</v>
      </c>
      <c r="B18" s="404" t="s">
        <v>894</v>
      </c>
      <c r="C18" s="405"/>
      <c r="D18" s="405"/>
      <c r="E18" s="405"/>
      <c r="F18" s="405"/>
      <c r="G18" s="406"/>
      <c r="H18" s="11"/>
      <c r="I18" s="11"/>
      <c r="J18" s="11"/>
      <c r="K18" s="11">
        <v>500</v>
      </c>
      <c r="L18" s="11">
        <f t="shared" si="0"/>
        <v>500</v>
      </c>
    </row>
    <row r="19" spans="1:12" ht="12.75">
      <c r="A19" s="75" t="s">
        <v>29</v>
      </c>
      <c r="B19" s="404" t="s">
        <v>895</v>
      </c>
      <c r="C19" s="405"/>
      <c r="D19" s="405"/>
      <c r="E19" s="405"/>
      <c r="F19" s="405"/>
      <c r="G19" s="406"/>
      <c r="H19" s="11"/>
      <c r="I19" s="11"/>
      <c r="J19" s="11"/>
      <c r="K19" s="11">
        <v>1905</v>
      </c>
      <c r="L19" s="11">
        <f t="shared" si="0"/>
        <v>1905</v>
      </c>
    </row>
    <row r="20" spans="1:12" ht="12.75">
      <c r="A20" s="75" t="s">
        <v>30</v>
      </c>
      <c r="B20" s="404" t="s">
        <v>896</v>
      </c>
      <c r="C20" s="405"/>
      <c r="D20" s="405"/>
      <c r="E20" s="405"/>
      <c r="F20" s="405"/>
      <c r="G20" s="406"/>
      <c r="H20" s="11"/>
      <c r="I20" s="11"/>
      <c r="J20" s="11"/>
      <c r="K20" s="11">
        <v>444</v>
      </c>
      <c r="L20" s="11">
        <f t="shared" si="0"/>
        <v>444</v>
      </c>
    </row>
    <row r="21" spans="1:12" ht="12.75">
      <c r="A21" s="75" t="s">
        <v>31</v>
      </c>
      <c r="B21" s="404" t="s">
        <v>967</v>
      </c>
      <c r="C21" s="405"/>
      <c r="D21" s="405"/>
      <c r="E21" s="405"/>
      <c r="F21" s="405"/>
      <c r="G21" s="406"/>
      <c r="H21" s="11"/>
      <c r="I21" s="11"/>
      <c r="J21" s="11"/>
      <c r="K21" s="11">
        <v>3000</v>
      </c>
      <c r="L21" s="11">
        <f t="shared" si="0"/>
        <v>3000</v>
      </c>
    </row>
    <row r="22" spans="1:12" ht="12.75">
      <c r="A22" s="75" t="s">
        <v>32</v>
      </c>
      <c r="B22" s="404" t="s">
        <v>975</v>
      </c>
      <c r="C22" s="405"/>
      <c r="D22" s="405"/>
      <c r="E22" s="405"/>
      <c r="F22" s="405"/>
      <c r="G22" s="406"/>
      <c r="H22" s="11"/>
      <c r="I22" s="11"/>
      <c r="J22" s="11"/>
      <c r="K22" s="11">
        <v>1115</v>
      </c>
      <c r="L22" s="11">
        <f t="shared" si="0"/>
        <v>1115</v>
      </c>
    </row>
    <row r="23" spans="1:12" ht="12.75">
      <c r="A23" s="75" t="s">
        <v>33</v>
      </c>
      <c r="B23" s="401" t="s">
        <v>897</v>
      </c>
      <c r="C23" s="402"/>
      <c r="D23" s="402"/>
      <c r="E23" s="402"/>
      <c r="F23" s="402"/>
      <c r="G23" s="403"/>
      <c r="H23" s="10">
        <f>SUM(H24:H25)</f>
        <v>2000</v>
      </c>
      <c r="I23" s="10">
        <f>SUM(I24:I25)</f>
        <v>0</v>
      </c>
      <c r="J23" s="10">
        <f>SUM(J24:J25)</f>
        <v>0</v>
      </c>
      <c r="K23" s="10">
        <f>SUM(K24:K25)</f>
        <v>0</v>
      </c>
      <c r="L23" s="10">
        <f>SUM(L24:L25)</f>
        <v>2000</v>
      </c>
    </row>
    <row r="24" spans="1:12" ht="12.75">
      <c r="A24" s="75" t="s">
        <v>34</v>
      </c>
      <c r="B24" s="404" t="s">
        <v>898</v>
      </c>
      <c r="C24" s="405"/>
      <c r="D24" s="405"/>
      <c r="E24" s="405"/>
      <c r="F24" s="405"/>
      <c r="G24" s="406"/>
      <c r="H24" s="11">
        <v>1850</v>
      </c>
      <c r="I24" s="11"/>
      <c r="J24" s="11"/>
      <c r="K24" s="11"/>
      <c r="L24" s="11">
        <f t="shared" si="0"/>
        <v>1850</v>
      </c>
    </row>
    <row r="25" spans="1:12" ht="12.75">
      <c r="A25" s="75" t="s">
        <v>35</v>
      </c>
      <c r="B25" s="441" t="s">
        <v>899</v>
      </c>
      <c r="C25" s="442"/>
      <c r="D25" s="442"/>
      <c r="E25" s="442"/>
      <c r="F25" s="442"/>
      <c r="G25" s="443"/>
      <c r="H25" s="11">
        <v>150</v>
      </c>
      <c r="I25" s="11"/>
      <c r="J25" s="11"/>
      <c r="K25" s="11"/>
      <c r="L25" s="11">
        <f t="shared" si="0"/>
        <v>150</v>
      </c>
    </row>
    <row r="26" spans="1:12" s="6" customFormat="1" ht="25.5" customHeight="1">
      <c r="A26" s="75" t="s">
        <v>36</v>
      </c>
      <c r="B26" s="401" t="s">
        <v>902</v>
      </c>
      <c r="C26" s="402"/>
      <c r="D26" s="402"/>
      <c r="E26" s="402"/>
      <c r="F26" s="402"/>
      <c r="G26" s="403"/>
      <c r="H26" s="12">
        <f>SUM(H27:H32)</f>
        <v>2746</v>
      </c>
      <c r="I26" s="12">
        <f>SUM(I27:I32)</f>
        <v>39287</v>
      </c>
      <c r="J26" s="12">
        <f>SUM(J27:J32)</f>
        <v>0</v>
      </c>
      <c r="K26" s="12">
        <f>SUM(K27:K32)</f>
        <v>4401</v>
      </c>
      <c r="L26" s="12">
        <f t="shared" si="0"/>
        <v>46434</v>
      </c>
    </row>
    <row r="27" spans="1:12" ht="12.75">
      <c r="A27" s="75" t="s">
        <v>37</v>
      </c>
      <c r="B27" s="408" t="s">
        <v>903</v>
      </c>
      <c r="C27" s="409"/>
      <c r="D27" s="409"/>
      <c r="E27" s="409"/>
      <c r="F27" s="409"/>
      <c r="G27" s="410"/>
      <c r="H27" s="11">
        <v>2746</v>
      </c>
      <c r="I27" s="11"/>
      <c r="J27" s="11"/>
      <c r="K27" s="11"/>
      <c r="L27" s="11">
        <f t="shared" si="0"/>
        <v>2746</v>
      </c>
    </row>
    <row r="28" spans="1:12" ht="25.5" customHeight="1">
      <c r="A28" s="75" t="s">
        <v>38</v>
      </c>
      <c r="B28" s="408" t="s">
        <v>977</v>
      </c>
      <c r="C28" s="409"/>
      <c r="D28" s="409"/>
      <c r="E28" s="409"/>
      <c r="F28" s="409"/>
      <c r="G28" s="410"/>
      <c r="H28" s="11"/>
      <c r="I28" s="11">
        <v>39287</v>
      </c>
      <c r="J28" s="11"/>
      <c r="K28" s="11"/>
      <c r="L28" s="11">
        <f t="shared" si="0"/>
        <v>39287</v>
      </c>
    </row>
    <row r="29" spans="1:12" ht="12.75">
      <c r="A29" s="75" t="s">
        <v>39</v>
      </c>
      <c r="B29" s="452" t="s">
        <v>1383</v>
      </c>
      <c r="C29" s="453"/>
      <c r="D29" s="453"/>
      <c r="E29" s="453"/>
      <c r="F29" s="453"/>
      <c r="G29" s="454"/>
      <c r="H29" s="11"/>
      <c r="I29" s="11"/>
      <c r="J29" s="11"/>
      <c r="K29" s="11">
        <v>800</v>
      </c>
      <c r="L29" s="11">
        <f t="shared" si="0"/>
        <v>800</v>
      </c>
    </row>
    <row r="30" spans="1:12" ht="12.75">
      <c r="A30" s="75" t="s">
        <v>41</v>
      </c>
      <c r="B30" s="452" t="s">
        <v>1384</v>
      </c>
      <c r="C30" s="453"/>
      <c r="D30" s="453"/>
      <c r="E30" s="453"/>
      <c r="F30" s="453"/>
      <c r="G30" s="454"/>
      <c r="H30" s="11"/>
      <c r="I30" s="11"/>
      <c r="J30" s="11"/>
      <c r="K30" s="11">
        <v>594</v>
      </c>
      <c r="L30" s="11">
        <f t="shared" si="0"/>
        <v>594</v>
      </c>
    </row>
    <row r="31" spans="1:12" ht="12.75">
      <c r="A31" s="75" t="s">
        <v>42</v>
      </c>
      <c r="B31" s="452" t="s">
        <v>1385</v>
      </c>
      <c r="C31" s="453"/>
      <c r="D31" s="453"/>
      <c r="E31" s="453"/>
      <c r="F31" s="453"/>
      <c r="G31" s="454"/>
      <c r="H31" s="11"/>
      <c r="I31" s="11"/>
      <c r="J31" s="11"/>
      <c r="K31" s="11">
        <v>352</v>
      </c>
      <c r="L31" s="11">
        <f t="shared" si="0"/>
        <v>352</v>
      </c>
    </row>
    <row r="32" spans="1:12" ht="12.75">
      <c r="A32" s="75" t="s">
        <v>44</v>
      </c>
      <c r="B32" s="452" t="s">
        <v>1352</v>
      </c>
      <c r="C32" s="453"/>
      <c r="D32" s="453"/>
      <c r="E32" s="453"/>
      <c r="F32" s="453"/>
      <c r="G32" s="454"/>
      <c r="H32" s="11"/>
      <c r="I32" s="11"/>
      <c r="J32" s="11"/>
      <c r="K32" s="11">
        <v>2655</v>
      </c>
      <c r="L32" s="11">
        <f t="shared" si="0"/>
        <v>2655</v>
      </c>
    </row>
    <row r="33" spans="1:12" s="6" customFormat="1" ht="12.75">
      <c r="A33" s="75" t="s">
        <v>45</v>
      </c>
      <c r="B33" s="401" t="s">
        <v>1140</v>
      </c>
      <c r="C33" s="402"/>
      <c r="D33" s="402"/>
      <c r="E33" s="402"/>
      <c r="F33" s="402"/>
      <c r="G33" s="403"/>
      <c r="H33" s="12">
        <f>SUM(H34)</f>
        <v>0</v>
      </c>
      <c r="I33" s="12">
        <f>SUM(I34)</f>
        <v>0</v>
      </c>
      <c r="J33" s="12">
        <f>SUM(J34)</f>
        <v>0</v>
      </c>
      <c r="K33" s="12">
        <f>SUM(K34)</f>
        <v>1500</v>
      </c>
      <c r="L33" s="12">
        <f>SUM(H33:K33)</f>
        <v>1500</v>
      </c>
    </row>
    <row r="34" spans="1:12" ht="12.75">
      <c r="A34" s="75" t="s">
        <v>46</v>
      </c>
      <c r="B34" s="408" t="s">
        <v>965</v>
      </c>
      <c r="C34" s="409"/>
      <c r="D34" s="409"/>
      <c r="E34" s="409"/>
      <c r="F34" s="409"/>
      <c r="G34" s="410"/>
      <c r="H34" s="11"/>
      <c r="I34" s="11"/>
      <c r="J34" s="11"/>
      <c r="K34" s="11">
        <v>1500</v>
      </c>
      <c r="L34" s="11">
        <f>SUM(H34:K34)</f>
        <v>1500</v>
      </c>
    </row>
    <row r="35" spans="1:12" s="6" customFormat="1" ht="12.75">
      <c r="A35" s="75" t="s">
        <v>48</v>
      </c>
      <c r="B35" s="401" t="s">
        <v>968</v>
      </c>
      <c r="C35" s="402"/>
      <c r="D35" s="402"/>
      <c r="E35" s="402"/>
      <c r="F35" s="402"/>
      <c r="G35" s="403"/>
      <c r="H35" s="12">
        <f>SUM(H36)</f>
        <v>0</v>
      </c>
      <c r="I35" s="12">
        <f>SUM(I36)</f>
        <v>0</v>
      </c>
      <c r="J35" s="12">
        <f>SUM(J36)</f>
        <v>0</v>
      </c>
      <c r="K35" s="12">
        <f>SUM(K36)</f>
        <v>0</v>
      </c>
      <c r="L35" s="12">
        <f>SUM(H35:K35)</f>
        <v>0</v>
      </c>
    </row>
    <row r="36" spans="1:12" ht="12.75">
      <c r="A36" s="75" t="s">
        <v>49</v>
      </c>
      <c r="B36" s="408" t="s">
        <v>965</v>
      </c>
      <c r="C36" s="409"/>
      <c r="D36" s="409"/>
      <c r="E36" s="409"/>
      <c r="F36" s="409"/>
      <c r="G36" s="410"/>
      <c r="H36" s="11"/>
      <c r="I36" s="11"/>
      <c r="J36" s="11"/>
      <c r="K36" s="11">
        <v>0</v>
      </c>
      <c r="L36" s="11">
        <f>SUM(H36:K36)</f>
        <v>0</v>
      </c>
    </row>
    <row r="37" spans="1:12" s="6" customFormat="1" ht="12.75">
      <c r="A37" s="75" t="s">
        <v>50</v>
      </c>
      <c r="B37" s="401" t="s">
        <v>907</v>
      </c>
      <c r="C37" s="402"/>
      <c r="D37" s="402"/>
      <c r="E37" s="402"/>
      <c r="F37" s="402"/>
      <c r="G37" s="403"/>
      <c r="H37" s="12">
        <f>SUM(H38:H49)</f>
        <v>18</v>
      </c>
      <c r="I37" s="12">
        <f>SUM(I38:I49)</f>
        <v>2425</v>
      </c>
      <c r="J37" s="12">
        <f>SUM(J38:J49)</f>
        <v>0</v>
      </c>
      <c r="K37" s="12">
        <f>SUM(K38:K49)</f>
        <v>7608</v>
      </c>
      <c r="L37" s="12">
        <f t="shared" si="0"/>
        <v>10051</v>
      </c>
    </row>
    <row r="38" spans="1:12" ht="12.75">
      <c r="A38" s="75" t="s">
        <v>51</v>
      </c>
      <c r="B38" s="408" t="s">
        <v>908</v>
      </c>
      <c r="C38" s="409"/>
      <c r="D38" s="409"/>
      <c r="E38" s="409"/>
      <c r="F38" s="409"/>
      <c r="G38" s="410"/>
      <c r="H38" s="11"/>
      <c r="I38" s="11">
        <v>2425</v>
      </c>
      <c r="J38" s="11"/>
      <c r="K38" s="11">
        <v>575</v>
      </c>
      <c r="L38" s="11">
        <f t="shared" si="0"/>
        <v>3000</v>
      </c>
    </row>
    <row r="39" spans="1:12" ht="12.75">
      <c r="A39" s="75" t="s">
        <v>53</v>
      </c>
      <c r="B39" s="408" t="s">
        <v>909</v>
      </c>
      <c r="C39" s="409"/>
      <c r="D39" s="409"/>
      <c r="E39" s="409"/>
      <c r="F39" s="409"/>
      <c r="G39" s="410"/>
      <c r="H39" s="11">
        <v>18</v>
      </c>
      <c r="I39" s="11"/>
      <c r="J39" s="11"/>
      <c r="K39" s="11"/>
      <c r="L39" s="11">
        <f t="shared" si="0"/>
        <v>18</v>
      </c>
    </row>
    <row r="40" spans="1:12" ht="12.75">
      <c r="A40" s="75" t="s">
        <v>54</v>
      </c>
      <c r="B40" s="408" t="s">
        <v>965</v>
      </c>
      <c r="C40" s="409"/>
      <c r="D40" s="409"/>
      <c r="E40" s="409"/>
      <c r="F40" s="409"/>
      <c r="G40" s="410"/>
      <c r="H40" s="11"/>
      <c r="I40" s="11"/>
      <c r="J40" s="11"/>
      <c r="K40" s="11">
        <v>2700</v>
      </c>
      <c r="L40" s="11">
        <f t="shared" si="0"/>
        <v>2700</v>
      </c>
    </row>
    <row r="41" spans="1:12" ht="12.75">
      <c r="A41" s="75" t="s">
        <v>55</v>
      </c>
      <c r="B41" s="432" t="s">
        <v>981</v>
      </c>
      <c r="C41" s="450"/>
      <c r="D41" s="450"/>
      <c r="E41" s="450"/>
      <c r="F41" s="450"/>
      <c r="G41" s="451"/>
      <c r="H41" s="11"/>
      <c r="I41" s="11"/>
      <c r="J41" s="11"/>
      <c r="K41" s="11">
        <v>197</v>
      </c>
      <c r="L41" s="11">
        <f t="shared" si="0"/>
        <v>197</v>
      </c>
    </row>
    <row r="42" spans="1:12" ht="12.75" customHeight="1">
      <c r="A42" s="75" t="s">
        <v>56</v>
      </c>
      <c r="B42" s="432" t="s">
        <v>982</v>
      </c>
      <c r="C42" s="433"/>
      <c r="D42" s="433"/>
      <c r="E42" s="433"/>
      <c r="F42" s="433"/>
      <c r="G42" s="434"/>
      <c r="H42" s="11"/>
      <c r="I42" s="11"/>
      <c r="J42" s="11"/>
      <c r="K42" s="11">
        <v>198</v>
      </c>
      <c r="L42" s="11">
        <f t="shared" si="0"/>
        <v>198</v>
      </c>
    </row>
    <row r="43" spans="1:12" ht="12.75" customHeight="1">
      <c r="A43" s="75" t="s">
        <v>57</v>
      </c>
      <c r="B43" s="432" t="s">
        <v>983</v>
      </c>
      <c r="C43" s="433"/>
      <c r="D43" s="433"/>
      <c r="E43" s="433"/>
      <c r="F43" s="433"/>
      <c r="G43" s="434"/>
      <c r="H43" s="11"/>
      <c r="I43" s="11"/>
      <c r="J43" s="11"/>
      <c r="K43" s="11">
        <v>196</v>
      </c>
      <c r="L43" s="11">
        <f t="shared" si="0"/>
        <v>196</v>
      </c>
    </row>
    <row r="44" spans="1:12" ht="12.75" customHeight="1">
      <c r="A44" s="75" t="s">
        <v>58</v>
      </c>
      <c r="B44" s="432" t="s">
        <v>984</v>
      </c>
      <c r="C44" s="433"/>
      <c r="D44" s="433"/>
      <c r="E44" s="433"/>
      <c r="F44" s="433"/>
      <c r="G44" s="434"/>
      <c r="H44" s="11"/>
      <c r="I44" s="11"/>
      <c r="J44" s="11"/>
      <c r="K44" s="11">
        <v>199</v>
      </c>
      <c r="L44" s="11">
        <f t="shared" si="0"/>
        <v>199</v>
      </c>
    </row>
    <row r="45" spans="1:12" ht="12.75" customHeight="1">
      <c r="A45" s="75" t="s">
        <v>59</v>
      </c>
      <c r="B45" s="432" t="s">
        <v>985</v>
      </c>
      <c r="C45" s="433"/>
      <c r="D45" s="433"/>
      <c r="E45" s="433"/>
      <c r="F45" s="433"/>
      <c r="G45" s="434"/>
      <c r="H45" s="11"/>
      <c r="I45" s="11"/>
      <c r="J45" s="11"/>
      <c r="K45" s="11">
        <v>200</v>
      </c>
      <c r="L45" s="11">
        <f t="shared" si="0"/>
        <v>200</v>
      </c>
    </row>
    <row r="46" spans="1:12" ht="12.75" customHeight="1">
      <c r="A46" s="75" t="s">
        <v>60</v>
      </c>
      <c r="B46" s="432" t="s">
        <v>986</v>
      </c>
      <c r="C46" s="433"/>
      <c r="D46" s="433"/>
      <c r="E46" s="433"/>
      <c r="F46" s="433"/>
      <c r="G46" s="434"/>
      <c r="H46" s="11"/>
      <c r="I46" s="11"/>
      <c r="J46" s="11"/>
      <c r="K46" s="11">
        <v>200</v>
      </c>
      <c r="L46" s="11">
        <f t="shared" si="0"/>
        <v>200</v>
      </c>
    </row>
    <row r="47" spans="1:12" ht="12.75" customHeight="1">
      <c r="A47" s="75" t="s">
        <v>61</v>
      </c>
      <c r="B47" s="432" t="s">
        <v>987</v>
      </c>
      <c r="C47" s="433"/>
      <c r="D47" s="433"/>
      <c r="E47" s="433"/>
      <c r="F47" s="433"/>
      <c r="G47" s="434"/>
      <c r="H47" s="11"/>
      <c r="I47" s="11"/>
      <c r="J47" s="11"/>
      <c r="K47" s="11">
        <v>200</v>
      </c>
      <c r="L47" s="11">
        <f t="shared" si="0"/>
        <v>200</v>
      </c>
    </row>
    <row r="48" spans="1:12" ht="12.75" customHeight="1">
      <c r="A48" s="75" t="s">
        <v>62</v>
      </c>
      <c r="B48" s="432" t="s">
        <v>988</v>
      </c>
      <c r="C48" s="433"/>
      <c r="D48" s="433"/>
      <c r="E48" s="433"/>
      <c r="F48" s="433"/>
      <c r="G48" s="434"/>
      <c r="H48" s="11"/>
      <c r="I48" s="11"/>
      <c r="J48" s="11"/>
      <c r="K48" s="11">
        <v>143</v>
      </c>
      <c r="L48" s="11">
        <f t="shared" si="0"/>
        <v>143</v>
      </c>
    </row>
    <row r="49" spans="1:12" ht="12.75" customHeight="1">
      <c r="A49" s="75" t="s">
        <v>64</v>
      </c>
      <c r="B49" s="432" t="s">
        <v>989</v>
      </c>
      <c r="C49" s="433"/>
      <c r="D49" s="433"/>
      <c r="E49" s="433"/>
      <c r="F49" s="433"/>
      <c r="G49" s="434"/>
      <c r="H49" s="11"/>
      <c r="I49" s="11"/>
      <c r="J49" s="11"/>
      <c r="K49" s="11">
        <v>2800</v>
      </c>
      <c r="L49" s="11">
        <f t="shared" si="0"/>
        <v>2800</v>
      </c>
    </row>
    <row r="50" spans="1:12" ht="12.75">
      <c r="A50" s="75" t="s">
        <v>65</v>
      </c>
      <c r="B50" s="401" t="s">
        <v>910</v>
      </c>
      <c r="C50" s="402"/>
      <c r="D50" s="402"/>
      <c r="E50" s="402"/>
      <c r="F50" s="402"/>
      <c r="G50" s="403"/>
      <c r="H50" s="12">
        <f>SUM(H51:H53)</f>
        <v>23961</v>
      </c>
      <c r="I50" s="12">
        <f>SUM(I51:I53)</f>
        <v>359448</v>
      </c>
      <c r="J50" s="12">
        <f>SUM(J51:J53)</f>
        <v>0</v>
      </c>
      <c r="K50" s="12">
        <f>SUM(K51:K53)</f>
        <v>70000</v>
      </c>
      <c r="L50" s="12">
        <f>SUM(L51:L53)</f>
        <v>453409</v>
      </c>
    </row>
    <row r="51" spans="1:12" ht="12.75">
      <c r="A51" s="75" t="s">
        <v>66</v>
      </c>
      <c r="B51" s="404" t="s">
        <v>911</v>
      </c>
      <c r="C51" s="405"/>
      <c r="D51" s="405"/>
      <c r="E51" s="405"/>
      <c r="F51" s="405"/>
      <c r="G51" s="406"/>
      <c r="H51" s="11">
        <v>18961</v>
      </c>
      <c r="I51" s="11">
        <v>359448</v>
      </c>
      <c r="J51" s="11"/>
      <c r="K51" s="11"/>
      <c r="L51" s="11">
        <f t="shared" si="0"/>
        <v>378409</v>
      </c>
    </row>
    <row r="52" spans="1:12" ht="12.75">
      <c r="A52" s="75" t="s">
        <v>67</v>
      </c>
      <c r="B52" s="404" t="s">
        <v>912</v>
      </c>
      <c r="C52" s="405"/>
      <c r="D52" s="405"/>
      <c r="E52" s="405"/>
      <c r="F52" s="405"/>
      <c r="G52" s="406"/>
      <c r="H52" s="11">
        <v>5000</v>
      </c>
      <c r="I52" s="11"/>
      <c r="J52" s="11"/>
      <c r="K52" s="11"/>
      <c r="L52" s="11">
        <f t="shared" si="0"/>
        <v>5000</v>
      </c>
    </row>
    <row r="53" spans="1:12" ht="12.75">
      <c r="A53" s="75" t="s">
        <v>68</v>
      </c>
      <c r="B53" s="404" t="s">
        <v>913</v>
      </c>
      <c r="C53" s="405"/>
      <c r="D53" s="405"/>
      <c r="E53" s="405"/>
      <c r="F53" s="405"/>
      <c r="G53" s="406"/>
      <c r="H53" s="11"/>
      <c r="I53" s="11"/>
      <c r="J53" s="11"/>
      <c r="K53" s="11">
        <v>70000</v>
      </c>
      <c r="L53" s="11">
        <f t="shared" si="0"/>
        <v>70000</v>
      </c>
    </row>
    <row r="54" spans="1:12" s="6" customFormat="1" ht="24" customHeight="1">
      <c r="A54" s="75" t="s">
        <v>69</v>
      </c>
      <c r="B54" s="401" t="s">
        <v>1387</v>
      </c>
      <c r="C54" s="402"/>
      <c r="D54" s="402"/>
      <c r="E54" s="402"/>
      <c r="F54" s="402"/>
      <c r="G54" s="403"/>
      <c r="H54" s="12">
        <f>SUM(H55)</f>
        <v>0</v>
      </c>
      <c r="I54" s="12">
        <f>SUM(I55)</f>
        <v>0</v>
      </c>
      <c r="J54" s="12">
        <f>SUM(J55)</f>
        <v>0</v>
      </c>
      <c r="K54" s="12">
        <f>SUM(K55)</f>
        <v>800</v>
      </c>
      <c r="L54" s="12">
        <f>SUM(H54:K54)</f>
        <v>800</v>
      </c>
    </row>
    <row r="55" spans="1:12" ht="12.75">
      <c r="A55" s="75" t="s">
        <v>70</v>
      </c>
      <c r="B55" s="408" t="s">
        <v>965</v>
      </c>
      <c r="C55" s="409"/>
      <c r="D55" s="409"/>
      <c r="E55" s="409"/>
      <c r="F55" s="409"/>
      <c r="G55" s="410"/>
      <c r="H55" s="11"/>
      <c r="I55" s="11"/>
      <c r="J55" s="11"/>
      <c r="K55" s="11">
        <v>800</v>
      </c>
      <c r="L55" s="11">
        <f>SUM(H55:K55)</f>
        <v>800</v>
      </c>
    </row>
    <row r="56" spans="1:12" ht="12.75">
      <c r="A56" s="75" t="s">
        <v>71</v>
      </c>
      <c r="B56" s="414" t="s">
        <v>918</v>
      </c>
      <c r="C56" s="415"/>
      <c r="D56" s="415"/>
      <c r="E56" s="415"/>
      <c r="F56" s="415"/>
      <c r="G56" s="416"/>
      <c r="H56" s="10">
        <f>SUM(H57:H62)</f>
        <v>2854</v>
      </c>
      <c r="I56" s="10">
        <f>SUM(I57:I62)</f>
        <v>0</v>
      </c>
      <c r="J56" s="10">
        <f>SUM(J57:J62)</f>
        <v>0</v>
      </c>
      <c r="K56" s="10">
        <f>SUM(K57:K62)</f>
        <v>9081</v>
      </c>
      <c r="L56" s="10">
        <f t="shared" si="0"/>
        <v>11935</v>
      </c>
    </row>
    <row r="57" spans="1:12" ht="12.75">
      <c r="A57" s="75" t="s">
        <v>72</v>
      </c>
      <c r="B57" s="407" t="s">
        <v>221</v>
      </c>
      <c r="C57" s="407"/>
      <c r="D57" s="407"/>
      <c r="E57" s="407"/>
      <c r="F57" s="407"/>
      <c r="G57" s="407"/>
      <c r="H57" s="11">
        <v>2854</v>
      </c>
      <c r="I57" s="11"/>
      <c r="J57" s="11"/>
      <c r="K57" s="11"/>
      <c r="L57" s="11">
        <f aca="true" t="shared" si="1" ref="L57:L62">SUM(H57:K57)</f>
        <v>2854</v>
      </c>
    </row>
    <row r="58" spans="1:12" ht="12.75">
      <c r="A58" s="75" t="s">
        <v>73</v>
      </c>
      <c r="B58" s="404" t="s">
        <v>919</v>
      </c>
      <c r="C58" s="405"/>
      <c r="D58" s="405"/>
      <c r="E58" s="405"/>
      <c r="F58" s="405"/>
      <c r="G58" s="406"/>
      <c r="H58" s="11"/>
      <c r="I58" s="11"/>
      <c r="J58" s="11"/>
      <c r="K58" s="11">
        <v>3302</v>
      </c>
      <c r="L58" s="11">
        <f t="shared" si="1"/>
        <v>3302</v>
      </c>
    </row>
    <row r="59" spans="1:12" ht="25.5" customHeight="1">
      <c r="A59" s="75" t="s">
        <v>74</v>
      </c>
      <c r="B59" s="404" t="s">
        <v>920</v>
      </c>
      <c r="C59" s="405"/>
      <c r="D59" s="405"/>
      <c r="E59" s="405"/>
      <c r="F59" s="405"/>
      <c r="G59" s="406"/>
      <c r="H59" s="11"/>
      <c r="I59" s="11"/>
      <c r="J59" s="11"/>
      <c r="K59" s="11">
        <v>2286</v>
      </c>
      <c r="L59" s="11">
        <f t="shared" si="1"/>
        <v>2286</v>
      </c>
    </row>
    <row r="60" spans="1:12" ht="12.75">
      <c r="A60" s="75" t="s">
        <v>75</v>
      </c>
      <c r="B60" s="404" t="s">
        <v>956</v>
      </c>
      <c r="C60" s="405" t="s">
        <v>956</v>
      </c>
      <c r="D60" s="405" t="s">
        <v>956</v>
      </c>
      <c r="E60" s="405" t="s">
        <v>956</v>
      </c>
      <c r="F60" s="405" t="s">
        <v>956</v>
      </c>
      <c r="G60" s="406" t="s">
        <v>956</v>
      </c>
      <c r="H60" s="11"/>
      <c r="I60" s="11"/>
      <c r="J60" s="11"/>
      <c r="K60" s="11">
        <v>2286</v>
      </c>
      <c r="L60" s="11">
        <f t="shared" si="1"/>
        <v>2286</v>
      </c>
    </row>
    <row r="61" spans="1:12" ht="12.75">
      <c r="A61" s="75" t="s">
        <v>76</v>
      </c>
      <c r="B61" s="404" t="s">
        <v>957</v>
      </c>
      <c r="C61" s="405" t="s">
        <v>957</v>
      </c>
      <c r="D61" s="405" t="s">
        <v>957</v>
      </c>
      <c r="E61" s="405" t="s">
        <v>957</v>
      </c>
      <c r="F61" s="405" t="s">
        <v>957</v>
      </c>
      <c r="G61" s="406" t="s">
        <v>957</v>
      </c>
      <c r="H61" s="11"/>
      <c r="I61" s="11"/>
      <c r="J61" s="11"/>
      <c r="K61" s="11">
        <v>318</v>
      </c>
      <c r="L61" s="11">
        <f t="shared" si="1"/>
        <v>318</v>
      </c>
    </row>
    <row r="62" spans="1:12" ht="12.75" customHeight="1">
      <c r="A62" s="75" t="s">
        <v>77</v>
      </c>
      <c r="B62" s="404" t="s">
        <v>958</v>
      </c>
      <c r="C62" s="405" t="s">
        <v>958</v>
      </c>
      <c r="D62" s="405" t="s">
        <v>958</v>
      </c>
      <c r="E62" s="405" t="s">
        <v>958</v>
      </c>
      <c r="F62" s="405" t="s">
        <v>958</v>
      </c>
      <c r="G62" s="406" t="s">
        <v>958</v>
      </c>
      <c r="H62" s="11"/>
      <c r="I62" s="11"/>
      <c r="J62" s="11"/>
      <c r="K62" s="11">
        <v>889</v>
      </c>
      <c r="L62" s="11">
        <f t="shared" si="1"/>
        <v>889</v>
      </c>
    </row>
    <row r="63" spans="1:12" ht="12.75">
      <c r="A63" s="75" t="s">
        <v>78</v>
      </c>
      <c r="B63" s="401" t="s">
        <v>923</v>
      </c>
      <c r="C63" s="402"/>
      <c r="D63" s="402"/>
      <c r="E63" s="402"/>
      <c r="F63" s="402"/>
      <c r="G63" s="403"/>
      <c r="H63" s="12">
        <f>SUM(H64:H65)</f>
        <v>0</v>
      </c>
      <c r="I63" s="12">
        <f>SUM(I64:I65)</f>
        <v>0</v>
      </c>
      <c r="J63" s="12">
        <f>SUM(J64:J65)</f>
        <v>0</v>
      </c>
      <c r="K63" s="12">
        <f>SUM(K64:K65)</f>
        <v>4000</v>
      </c>
      <c r="L63" s="12">
        <f t="shared" si="0"/>
        <v>4000</v>
      </c>
    </row>
    <row r="64" spans="1:12" ht="12.75">
      <c r="A64" s="75" t="s">
        <v>80</v>
      </c>
      <c r="B64" s="404" t="s">
        <v>924</v>
      </c>
      <c r="C64" s="405"/>
      <c r="D64" s="405"/>
      <c r="E64" s="405"/>
      <c r="F64" s="405"/>
      <c r="G64" s="406"/>
      <c r="H64" s="11"/>
      <c r="I64" s="11"/>
      <c r="J64" s="11"/>
      <c r="K64" s="11">
        <v>2000</v>
      </c>
      <c r="L64" s="11">
        <f t="shared" si="0"/>
        <v>2000</v>
      </c>
    </row>
    <row r="65" spans="1:12" ht="12.75">
      <c r="A65" s="75" t="s">
        <v>81</v>
      </c>
      <c r="B65" s="407" t="s">
        <v>43</v>
      </c>
      <c r="C65" s="407"/>
      <c r="D65" s="407"/>
      <c r="E65" s="407"/>
      <c r="F65" s="407"/>
      <c r="G65" s="407"/>
      <c r="H65" s="11"/>
      <c r="I65" s="11"/>
      <c r="J65" s="11"/>
      <c r="K65" s="11">
        <v>2000</v>
      </c>
      <c r="L65" s="11">
        <f t="shared" si="0"/>
        <v>2000</v>
      </c>
    </row>
    <row r="66" spans="1:12" ht="12.75">
      <c r="A66" s="75" t="s">
        <v>164</v>
      </c>
      <c r="B66" s="401" t="s">
        <v>928</v>
      </c>
      <c r="C66" s="402"/>
      <c r="D66" s="402"/>
      <c r="E66" s="402"/>
      <c r="F66" s="402"/>
      <c r="G66" s="403"/>
      <c r="H66" s="12">
        <f>SUM(H67)</f>
        <v>0</v>
      </c>
      <c r="I66" s="12">
        <f aca="true" t="shared" si="2" ref="I66:K68">SUM(I67)</f>
        <v>0</v>
      </c>
      <c r="J66" s="12">
        <f t="shared" si="2"/>
        <v>0</v>
      </c>
      <c r="K66" s="12">
        <f t="shared" si="2"/>
        <v>5334</v>
      </c>
      <c r="L66" s="12">
        <f aca="true" t="shared" si="3" ref="L66:L81">SUM(H66:K66)</f>
        <v>5334</v>
      </c>
    </row>
    <row r="67" spans="1:12" ht="25.5" customHeight="1">
      <c r="A67" s="75" t="s">
        <v>165</v>
      </c>
      <c r="B67" s="404" t="s">
        <v>927</v>
      </c>
      <c r="C67" s="405"/>
      <c r="D67" s="405"/>
      <c r="E67" s="405"/>
      <c r="F67" s="405"/>
      <c r="G67" s="406"/>
      <c r="H67" s="11"/>
      <c r="I67" s="11"/>
      <c r="J67" s="11"/>
      <c r="K67" s="11">
        <v>5334</v>
      </c>
      <c r="L67" s="11">
        <f t="shared" si="3"/>
        <v>5334</v>
      </c>
    </row>
    <row r="68" spans="1:12" ht="12.75">
      <c r="A68" s="75" t="s">
        <v>166</v>
      </c>
      <c r="B68" s="401" t="s">
        <v>929</v>
      </c>
      <c r="C68" s="402"/>
      <c r="D68" s="402"/>
      <c r="E68" s="402"/>
      <c r="F68" s="402"/>
      <c r="G68" s="403"/>
      <c r="H68" s="12">
        <f>SUM(H69)</f>
        <v>1401</v>
      </c>
      <c r="I68" s="12">
        <f t="shared" si="2"/>
        <v>0</v>
      </c>
      <c r="J68" s="12">
        <f t="shared" si="2"/>
        <v>0</v>
      </c>
      <c r="K68" s="12">
        <f t="shared" si="2"/>
        <v>1000</v>
      </c>
      <c r="L68" s="12">
        <f t="shared" si="3"/>
        <v>2401</v>
      </c>
    </row>
    <row r="69" spans="1:12" ht="12.75">
      <c r="A69" s="75" t="s">
        <v>167</v>
      </c>
      <c r="B69" s="404" t="s">
        <v>40</v>
      </c>
      <c r="C69" s="405"/>
      <c r="D69" s="405"/>
      <c r="E69" s="405"/>
      <c r="F69" s="405"/>
      <c r="G69" s="406"/>
      <c r="H69" s="11">
        <v>1401</v>
      </c>
      <c r="I69" s="11"/>
      <c r="J69" s="11"/>
      <c r="K69" s="11">
        <v>1000</v>
      </c>
      <c r="L69" s="11">
        <f t="shared" si="3"/>
        <v>2401</v>
      </c>
    </row>
    <row r="70" spans="1:12" ht="12.75">
      <c r="A70" s="75" t="s">
        <v>168</v>
      </c>
      <c r="B70" s="414" t="s">
        <v>930</v>
      </c>
      <c r="C70" s="415"/>
      <c r="D70" s="415"/>
      <c r="E70" s="415"/>
      <c r="F70" s="415"/>
      <c r="G70" s="416"/>
      <c r="H70" s="10">
        <f>SUM(H71:H75)</f>
        <v>5064</v>
      </c>
      <c r="I70" s="10">
        <f>SUM(I71:I75)</f>
        <v>0</v>
      </c>
      <c r="J70" s="10">
        <f>SUM(J71:J75)</f>
        <v>0</v>
      </c>
      <c r="K70" s="10">
        <f>SUM(K71:K75)</f>
        <v>85</v>
      </c>
      <c r="L70" s="10">
        <f t="shared" si="3"/>
        <v>5149</v>
      </c>
    </row>
    <row r="71" spans="1:12" ht="12.75">
      <c r="A71" s="75" t="s">
        <v>169</v>
      </c>
      <c r="B71" s="407" t="s">
        <v>931</v>
      </c>
      <c r="C71" s="407"/>
      <c r="D71" s="407"/>
      <c r="E71" s="407"/>
      <c r="F71" s="407"/>
      <c r="G71" s="407"/>
      <c r="H71" s="11"/>
      <c r="I71" s="11"/>
      <c r="J71" s="11"/>
      <c r="K71" s="11">
        <v>85</v>
      </c>
      <c r="L71" s="11">
        <f t="shared" si="3"/>
        <v>85</v>
      </c>
    </row>
    <row r="72" spans="1:12" ht="12.75">
      <c r="A72" s="75" t="s">
        <v>170</v>
      </c>
      <c r="B72" s="404" t="s">
        <v>223</v>
      </c>
      <c r="C72" s="405"/>
      <c r="D72" s="405"/>
      <c r="E72" s="405"/>
      <c r="F72" s="405"/>
      <c r="G72" s="406"/>
      <c r="H72" s="11">
        <v>5000</v>
      </c>
      <c r="I72" s="11"/>
      <c r="J72" s="11"/>
      <c r="K72" s="11"/>
      <c r="L72" s="11">
        <f t="shared" si="3"/>
        <v>5000</v>
      </c>
    </row>
    <row r="73" spans="1:12" ht="12.75">
      <c r="A73" s="75" t="s">
        <v>171</v>
      </c>
      <c r="B73" s="404" t="s">
        <v>932</v>
      </c>
      <c r="C73" s="405"/>
      <c r="D73" s="405"/>
      <c r="E73" s="405"/>
      <c r="F73" s="405"/>
      <c r="G73" s="406"/>
      <c r="H73" s="11">
        <v>64</v>
      </c>
      <c r="I73" s="11"/>
      <c r="J73" s="11"/>
      <c r="K73" s="11"/>
      <c r="L73" s="11">
        <f t="shared" si="3"/>
        <v>64</v>
      </c>
    </row>
    <row r="74" spans="1:12" ht="12.75">
      <c r="A74" s="75" t="s">
        <v>172</v>
      </c>
      <c r="B74" s="404" t="s">
        <v>933</v>
      </c>
      <c r="C74" s="405"/>
      <c r="D74" s="405"/>
      <c r="E74" s="405"/>
      <c r="F74" s="405"/>
      <c r="G74" s="406"/>
      <c r="H74" s="11"/>
      <c r="I74" s="11"/>
      <c r="J74" s="11"/>
      <c r="K74" s="11"/>
      <c r="L74" s="11">
        <f t="shared" si="3"/>
        <v>0</v>
      </c>
    </row>
    <row r="75" spans="1:12" ht="12.75">
      <c r="A75" s="75" t="s">
        <v>173</v>
      </c>
      <c r="B75" s="404" t="s">
        <v>979</v>
      </c>
      <c r="C75" s="405"/>
      <c r="D75" s="405"/>
      <c r="E75" s="405"/>
      <c r="F75" s="405"/>
      <c r="G75" s="406"/>
      <c r="H75" s="11"/>
      <c r="I75" s="11"/>
      <c r="J75" s="11"/>
      <c r="K75" s="11"/>
      <c r="L75" s="11">
        <f t="shared" si="3"/>
        <v>0</v>
      </c>
    </row>
    <row r="76" spans="1:12" ht="12.75">
      <c r="A76" s="75" t="s">
        <v>174</v>
      </c>
      <c r="B76" s="401" t="s">
        <v>1047</v>
      </c>
      <c r="C76" s="402"/>
      <c r="D76" s="402"/>
      <c r="E76" s="402"/>
      <c r="F76" s="402"/>
      <c r="G76" s="403"/>
      <c r="H76" s="12">
        <f>SUM(H77:H78)</f>
        <v>0</v>
      </c>
      <c r="I76" s="12">
        <f>SUM(I77:I78)</f>
        <v>0</v>
      </c>
      <c r="J76" s="12">
        <f>SUM(J77:J78)</f>
        <v>0</v>
      </c>
      <c r="K76" s="12">
        <f>SUM(K77:K78)</f>
        <v>389</v>
      </c>
      <c r="L76" s="12">
        <f t="shared" si="3"/>
        <v>389</v>
      </c>
    </row>
    <row r="77" spans="1:12" ht="12.75">
      <c r="A77" s="75" t="s">
        <v>175</v>
      </c>
      <c r="B77" s="404" t="s">
        <v>1388</v>
      </c>
      <c r="C77" s="405"/>
      <c r="D77" s="405"/>
      <c r="E77" s="405"/>
      <c r="F77" s="405"/>
      <c r="G77" s="406"/>
      <c r="H77" s="11"/>
      <c r="I77" s="11"/>
      <c r="J77" s="11"/>
      <c r="K77" s="11">
        <v>300</v>
      </c>
      <c r="L77" s="11">
        <f t="shared" si="3"/>
        <v>300</v>
      </c>
    </row>
    <row r="78" spans="1:12" ht="12.75">
      <c r="A78" s="75" t="s">
        <v>176</v>
      </c>
      <c r="B78" s="407" t="s">
        <v>1389</v>
      </c>
      <c r="C78" s="407"/>
      <c r="D78" s="407"/>
      <c r="E78" s="407"/>
      <c r="F78" s="407"/>
      <c r="G78" s="407"/>
      <c r="H78" s="11"/>
      <c r="I78" s="11"/>
      <c r="J78" s="11"/>
      <c r="K78" s="11">
        <v>89</v>
      </c>
      <c r="L78" s="11">
        <f t="shared" si="3"/>
        <v>89</v>
      </c>
    </row>
    <row r="79" spans="1:12" ht="12.75">
      <c r="A79" s="75" t="s">
        <v>177</v>
      </c>
      <c r="B79" s="401" t="s">
        <v>976</v>
      </c>
      <c r="C79" s="402"/>
      <c r="D79" s="402"/>
      <c r="E79" s="402"/>
      <c r="F79" s="402"/>
      <c r="G79" s="403"/>
      <c r="H79" s="12">
        <f>SUM(H80:H81)</f>
        <v>6227</v>
      </c>
      <c r="I79" s="12">
        <f>SUM(I80:I81)</f>
        <v>0</v>
      </c>
      <c r="J79" s="12">
        <f>SUM(J80:J81)</f>
        <v>0</v>
      </c>
      <c r="K79" s="12">
        <f>SUM(K80:K81)</f>
        <v>8000</v>
      </c>
      <c r="L79" s="12">
        <f t="shared" si="3"/>
        <v>14227</v>
      </c>
    </row>
    <row r="80" spans="1:12" ht="12.75">
      <c r="A80" s="75" t="s">
        <v>178</v>
      </c>
      <c r="B80" s="404" t="s">
        <v>936</v>
      </c>
      <c r="C80" s="405"/>
      <c r="D80" s="405"/>
      <c r="E80" s="405"/>
      <c r="F80" s="405"/>
      <c r="G80" s="406"/>
      <c r="H80" s="11">
        <v>6227</v>
      </c>
      <c r="I80" s="11"/>
      <c r="J80" s="11"/>
      <c r="K80" s="11"/>
      <c r="L80" s="11">
        <f t="shared" si="3"/>
        <v>6227</v>
      </c>
    </row>
    <row r="81" spans="1:12" ht="12.75">
      <c r="A81" s="75" t="s">
        <v>179</v>
      </c>
      <c r="B81" s="407" t="s">
        <v>937</v>
      </c>
      <c r="C81" s="407"/>
      <c r="D81" s="407"/>
      <c r="E81" s="407"/>
      <c r="F81" s="407"/>
      <c r="G81" s="407"/>
      <c r="H81" s="11"/>
      <c r="I81" s="11"/>
      <c r="J81" s="11"/>
      <c r="K81" s="11">
        <v>8000</v>
      </c>
      <c r="L81" s="11">
        <f t="shared" si="3"/>
        <v>8000</v>
      </c>
    </row>
    <row r="82" spans="1:12" ht="25.5" customHeight="1">
      <c r="A82" s="75" t="s">
        <v>180</v>
      </c>
      <c r="B82" s="421" t="s">
        <v>130</v>
      </c>
      <c r="C82" s="422"/>
      <c r="D82" s="422"/>
      <c r="E82" s="422"/>
      <c r="F82" s="422"/>
      <c r="G82" s="422"/>
      <c r="H82" s="422"/>
      <c r="I82" s="422"/>
      <c r="J82" s="422"/>
      <c r="K82" s="422"/>
      <c r="L82" s="423"/>
    </row>
    <row r="83" spans="1:12" ht="12.75" customHeight="1">
      <c r="A83" s="75" t="s">
        <v>181</v>
      </c>
      <c r="B83" s="401" t="s">
        <v>900</v>
      </c>
      <c r="C83" s="402"/>
      <c r="D83" s="402"/>
      <c r="E83" s="402"/>
      <c r="F83" s="402"/>
      <c r="G83" s="403"/>
      <c r="H83" s="10">
        <f>SUM(H84:H84)</f>
        <v>0</v>
      </c>
      <c r="I83" s="10">
        <f>SUM(I84:I84)</f>
        <v>0</v>
      </c>
      <c r="J83" s="10">
        <f>SUM(J84:J84)</f>
        <v>0</v>
      </c>
      <c r="K83" s="10">
        <f>SUM(K84:K84)</f>
        <v>7000</v>
      </c>
      <c r="L83" s="10">
        <f>SUM(H83:K83)</f>
        <v>7000</v>
      </c>
    </row>
    <row r="84" spans="1:12" ht="25.5" customHeight="1">
      <c r="A84" s="75" t="s">
        <v>182</v>
      </c>
      <c r="B84" s="404" t="s">
        <v>901</v>
      </c>
      <c r="C84" s="405"/>
      <c r="D84" s="405"/>
      <c r="E84" s="405"/>
      <c r="F84" s="405"/>
      <c r="G84" s="406"/>
      <c r="H84" s="11"/>
      <c r="I84" s="11"/>
      <c r="J84" s="11"/>
      <c r="K84" s="11">
        <v>7000</v>
      </c>
      <c r="L84" s="11">
        <f aca="true" t="shared" si="4" ref="L84:L94">SUM(H84:K84)</f>
        <v>7000</v>
      </c>
    </row>
    <row r="85" spans="1:12" ht="25.5" customHeight="1">
      <c r="A85" s="75" t="s">
        <v>183</v>
      </c>
      <c r="B85" s="421" t="s">
        <v>130</v>
      </c>
      <c r="C85" s="422"/>
      <c r="D85" s="422"/>
      <c r="E85" s="422"/>
      <c r="F85" s="422"/>
      <c r="G85" s="422"/>
      <c r="H85" s="422"/>
      <c r="I85" s="422"/>
      <c r="J85" s="422"/>
      <c r="K85" s="422"/>
      <c r="L85" s="423"/>
    </row>
    <row r="86" spans="1:12" ht="25.5" customHeight="1">
      <c r="A86" s="75" t="s">
        <v>184</v>
      </c>
      <c r="B86" s="401" t="s">
        <v>902</v>
      </c>
      <c r="C86" s="402"/>
      <c r="D86" s="402"/>
      <c r="E86" s="402"/>
      <c r="F86" s="402"/>
      <c r="G86" s="403"/>
      <c r="H86" s="10">
        <f>SUM(H87:H94)</f>
        <v>16927</v>
      </c>
      <c r="I86" s="10">
        <f>SUM(I87:I94)</f>
        <v>759290</v>
      </c>
      <c r="J86" s="10">
        <f>SUM(J87:J94)</f>
        <v>9779</v>
      </c>
      <c r="K86" s="10">
        <f>SUM(K87:K94)</f>
        <v>147148</v>
      </c>
      <c r="L86" s="10">
        <f t="shared" si="4"/>
        <v>933144</v>
      </c>
    </row>
    <row r="87" spans="1:12" ht="12.75">
      <c r="A87" s="75" t="s">
        <v>185</v>
      </c>
      <c r="B87" s="407" t="s">
        <v>904</v>
      </c>
      <c r="C87" s="407"/>
      <c r="D87" s="407"/>
      <c r="E87" s="407"/>
      <c r="F87" s="407"/>
      <c r="G87" s="407"/>
      <c r="H87" s="11">
        <v>2511</v>
      </c>
      <c r="I87" s="11"/>
      <c r="J87" s="11"/>
      <c r="K87" s="11">
        <v>13239</v>
      </c>
      <c r="L87" s="11">
        <f t="shared" si="4"/>
        <v>15750</v>
      </c>
    </row>
    <row r="88" spans="1:12" ht="12.75">
      <c r="A88" s="75" t="s">
        <v>186</v>
      </c>
      <c r="B88" s="404" t="s">
        <v>905</v>
      </c>
      <c r="C88" s="405"/>
      <c r="D88" s="405"/>
      <c r="E88" s="405"/>
      <c r="F88" s="405"/>
      <c r="G88" s="406"/>
      <c r="H88" s="11">
        <v>2196</v>
      </c>
      <c r="I88" s="11"/>
      <c r="J88" s="11"/>
      <c r="K88" s="11">
        <v>15700</v>
      </c>
      <c r="L88" s="11">
        <f t="shared" si="4"/>
        <v>17896</v>
      </c>
    </row>
    <row r="89" spans="1:12" ht="12.75">
      <c r="A89" s="75" t="s">
        <v>187</v>
      </c>
      <c r="B89" s="404" t="s">
        <v>222</v>
      </c>
      <c r="C89" s="405"/>
      <c r="D89" s="405"/>
      <c r="E89" s="405"/>
      <c r="F89" s="405"/>
      <c r="G89" s="406"/>
      <c r="H89" s="11">
        <v>5235</v>
      </c>
      <c r="I89" s="11"/>
      <c r="J89" s="11">
        <v>9779</v>
      </c>
      <c r="K89" s="11">
        <v>34275</v>
      </c>
      <c r="L89" s="11">
        <f t="shared" si="4"/>
        <v>49289</v>
      </c>
    </row>
    <row r="90" spans="1:12" ht="12.75">
      <c r="A90" s="75" t="s">
        <v>188</v>
      </c>
      <c r="B90" s="404" t="s">
        <v>217</v>
      </c>
      <c r="C90" s="405"/>
      <c r="D90" s="405"/>
      <c r="E90" s="405"/>
      <c r="F90" s="405"/>
      <c r="G90" s="406"/>
      <c r="H90" s="11">
        <v>6985</v>
      </c>
      <c r="I90" s="11"/>
      <c r="J90" s="11"/>
      <c r="K90" s="11"/>
      <c r="L90" s="11">
        <f t="shared" si="4"/>
        <v>6985</v>
      </c>
    </row>
    <row r="91" spans="1:12" ht="12.75">
      <c r="A91" s="75" t="s">
        <v>189</v>
      </c>
      <c r="B91" s="404" t="s">
        <v>906</v>
      </c>
      <c r="C91" s="405"/>
      <c r="D91" s="405"/>
      <c r="E91" s="405"/>
      <c r="F91" s="405"/>
      <c r="G91" s="406"/>
      <c r="H91" s="11"/>
      <c r="I91" s="11">
        <v>484042</v>
      </c>
      <c r="J91" s="11"/>
      <c r="K91" s="11">
        <v>78434</v>
      </c>
      <c r="L91" s="11">
        <f t="shared" si="4"/>
        <v>562476</v>
      </c>
    </row>
    <row r="92" spans="1:12" ht="25.5" customHeight="1">
      <c r="A92" s="75" t="s">
        <v>190</v>
      </c>
      <c r="B92" s="408" t="s">
        <v>977</v>
      </c>
      <c r="C92" s="409"/>
      <c r="D92" s="409"/>
      <c r="E92" s="409"/>
      <c r="F92" s="409"/>
      <c r="G92" s="410"/>
      <c r="H92" s="11"/>
      <c r="I92" s="11">
        <v>275248</v>
      </c>
      <c r="J92" s="11"/>
      <c r="K92" s="11"/>
      <c r="L92" s="11">
        <f t="shared" si="4"/>
        <v>275248</v>
      </c>
    </row>
    <row r="93" spans="1:12" ht="12.75">
      <c r="A93" s="75" t="s">
        <v>191</v>
      </c>
      <c r="B93" s="452" t="s">
        <v>1386</v>
      </c>
      <c r="C93" s="453"/>
      <c r="D93" s="453"/>
      <c r="E93" s="453"/>
      <c r="F93" s="453"/>
      <c r="G93" s="454"/>
      <c r="H93" s="11"/>
      <c r="I93" s="11"/>
      <c r="J93" s="11"/>
      <c r="K93" s="11">
        <v>3000</v>
      </c>
      <c r="L93" s="11">
        <f t="shared" si="4"/>
        <v>3000</v>
      </c>
    </row>
    <row r="94" spans="1:12" ht="12.75">
      <c r="A94" s="75" t="s">
        <v>192</v>
      </c>
      <c r="B94" s="452" t="s">
        <v>1192</v>
      </c>
      <c r="C94" s="453"/>
      <c r="D94" s="453"/>
      <c r="E94" s="453"/>
      <c r="F94" s="453"/>
      <c r="G94" s="454"/>
      <c r="H94" s="11"/>
      <c r="I94" s="11"/>
      <c r="J94" s="11"/>
      <c r="K94" s="11">
        <v>2500</v>
      </c>
      <c r="L94" s="11">
        <f t="shared" si="4"/>
        <v>2500</v>
      </c>
    </row>
    <row r="95" spans="1:12" ht="12.75">
      <c r="A95" s="75" t="s">
        <v>193</v>
      </c>
      <c r="B95" s="401" t="s">
        <v>910</v>
      </c>
      <c r="C95" s="402"/>
      <c r="D95" s="402"/>
      <c r="E95" s="402"/>
      <c r="F95" s="402"/>
      <c r="G95" s="403"/>
      <c r="H95" s="12">
        <f>SUM(H96:H100)</f>
        <v>52608</v>
      </c>
      <c r="I95" s="12">
        <f>SUM(I96:I100)</f>
        <v>0</v>
      </c>
      <c r="J95" s="12">
        <f>SUM(J96:J100)</f>
        <v>0</v>
      </c>
      <c r="K95" s="12">
        <f>SUM(K96:K100)</f>
        <v>242324</v>
      </c>
      <c r="L95" s="12">
        <f>SUM(H95:K95)</f>
        <v>294932</v>
      </c>
    </row>
    <row r="96" spans="1:12" ht="12.75">
      <c r="A96" s="75" t="s">
        <v>194</v>
      </c>
      <c r="B96" s="404" t="s">
        <v>914</v>
      </c>
      <c r="C96" s="405"/>
      <c r="D96" s="405"/>
      <c r="E96" s="405"/>
      <c r="F96" s="405"/>
      <c r="G96" s="406"/>
      <c r="H96" s="11">
        <v>21867</v>
      </c>
      <c r="I96" s="11"/>
      <c r="J96" s="11"/>
      <c r="K96" s="11">
        <v>185000</v>
      </c>
      <c r="L96" s="11">
        <f aca="true" t="shared" si="5" ref="L96:L102">SUM(H96:K96)</f>
        <v>206867</v>
      </c>
    </row>
    <row r="97" spans="1:12" ht="12.75">
      <c r="A97" s="75" t="s">
        <v>195</v>
      </c>
      <c r="B97" s="404" t="s">
        <v>915</v>
      </c>
      <c r="C97" s="405"/>
      <c r="D97" s="405"/>
      <c r="E97" s="405"/>
      <c r="F97" s="405"/>
      <c r="G97" s="406"/>
      <c r="H97" s="11">
        <v>29265</v>
      </c>
      <c r="I97" s="11"/>
      <c r="J97" s="11"/>
      <c r="K97" s="11">
        <v>17500</v>
      </c>
      <c r="L97" s="11">
        <f t="shared" si="5"/>
        <v>46765</v>
      </c>
    </row>
    <row r="98" spans="1:12" ht="12.75">
      <c r="A98" s="75" t="s">
        <v>196</v>
      </c>
      <c r="B98" s="404" t="s">
        <v>916</v>
      </c>
      <c r="C98" s="405"/>
      <c r="D98" s="405"/>
      <c r="E98" s="405"/>
      <c r="F98" s="405"/>
      <c r="G98" s="406"/>
      <c r="H98" s="11"/>
      <c r="I98" s="11"/>
      <c r="J98" s="11"/>
      <c r="K98" s="11">
        <v>28300</v>
      </c>
      <c r="L98" s="11">
        <f t="shared" si="5"/>
        <v>28300</v>
      </c>
    </row>
    <row r="99" spans="1:12" ht="12.75">
      <c r="A99" s="75" t="s">
        <v>197</v>
      </c>
      <c r="B99" s="404" t="s">
        <v>917</v>
      </c>
      <c r="C99" s="405"/>
      <c r="D99" s="405"/>
      <c r="E99" s="405"/>
      <c r="F99" s="405"/>
      <c r="G99" s="406"/>
      <c r="H99" s="11"/>
      <c r="I99" s="11"/>
      <c r="J99" s="11"/>
      <c r="K99" s="11">
        <v>5000</v>
      </c>
      <c r="L99" s="11">
        <f t="shared" si="5"/>
        <v>5000</v>
      </c>
    </row>
    <row r="100" spans="1:12" ht="12.75">
      <c r="A100" s="75" t="s">
        <v>198</v>
      </c>
      <c r="B100" s="404" t="s">
        <v>43</v>
      </c>
      <c r="C100" s="405"/>
      <c r="D100" s="405"/>
      <c r="E100" s="405"/>
      <c r="F100" s="405"/>
      <c r="G100" s="406"/>
      <c r="H100" s="11">
        <v>1476</v>
      </c>
      <c r="I100" s="11"/>
      <c r="J100" s="11"/>
      <c r="K100" s="11">
        <v>6524</v>
      </c>
      <c r="L100" s="11">
        <f t="shared" si="5"/>
        <v>8000</v>
      </c>
    </row>
    <row r="101" spans="1:12" ht="12.75">
      <c r="A101" s="75" t="s">
        <v>199</v>
      </c>
      <c r="B101" s="401" t="s">
        <v>925</v>
      </c>
      <c r="C101" s="402"/>
      <c r="D101" s="402"/>
      <c r="E101" s="402"/>
      <c r="F101" s="402"/>
      <c r="G101" s="403"/>
      <c r="H101" s="12">
        <f>SUM(H102:H102)</f>
        <v>0</v>
      </c>
      <c r="I101" s="12">
        <f>SUM(I102:I102)</f>
        <v>10278</v>
      </c>
      <c r="J101" s="12">
        <f>SUM(J102:J102)</f>
        <v>0</v>
      </c>
      <c r="K101" s="12">
        <f>SUM(K102:K102)</f>
        <v>3000</v>
      </c>
      <c r="L101" s="12">
        <f t="shared" si="5"/>
        <v>13278</v>
      </c>
    </row>
    <row r="102" spans="1:12" ht="12.75">
      <c r="A102" s="75" t="s">
        <v>200</v>
      </c>
      <c r="B102" s="404" t="s">
        <v>926</v>
      </c>
      <c r="C102" s="405"/>
      <c r="D102" s="405"/>
      <c r="E102" s="405"/>
      <c r="F102" s="405"/>
      <c r="G102" s="406"/>
      <c r="H102" s="11"/>
      <c r="I102" s="11">
        <v>10278</v>
      </c>
      <c r="J102" s="11"/>
      <c r="K102" s="11">
        <v>3000</v>
      </c>
      <c r="L102" s="11">
        <f t="shared" si="5"/>
        <v>13278</v>
      </c>
    </row>
    <row r="103" spans="1:12" ht="25.5" customHeight="1">
      <c r="A103" s="75" t="s">
        <v>201</v>
      </c>
      <c r="B103" s="421" t="s">
        <v>716</v>
      </c>
      <c r="C103" s="422"/>
      <c r="D103" s="422"/>
      <c r="E103" s="422"/>
      <c r="F103" s="422"/>
      <c r="G103" s="422"/>
      <c r="H103" s="422"/>
      <c r="I103" s="422"/>
      <c r="J103" s="422"/>
      <c r="K103" s="422"/>
      <c r="L103" s="423"/>
    </row>
    <row r="104" spans="1:12" ht="25.5" customHeight="1">
      <c r="A104" s="75" t="s">
        <v>202</v>
      </c>
      <c r="B104" s="401" t="s">
        <v>890</v>
      </c>
      <c r="C104" s="402"/>
      <c r="D104" s="402"/>
      <c r="E104" s="402"/>
      <c r="F104" s="402"/>
      <c r="G104" s="403"/>
      <c r="H104" s="10">
        <f>SUM(H105)</f>
        <v>0</v>
      </c>
      <c r="I104" s="10">
        <f>SUM(I105)</f>
        <v>0</v>
      </c>
      <c r="J104" s="10">
        <f>SUM(J105)</f>
        <v>0</v>
      </c>
      <c r="K104" s="10">
        <f>SUM(K105)</f>
        <v>18</v>
      </c>
      <c r="L104" s="10">
        <f>SUM(H104:K104)</f>
        <v>18</v>
      </c>
    </row>
    <row r="105" spans="1:12" ht="12.75">
      <c r="A105" s="75" t="s">
        <v>203</v>
      </c>
      <c r="B105" s="404" t="s">
        <v>1182</v>
      </c>
      <c r="C105" s="405"/>
      <c r="D105" s="405"/>
      <c r="E105" s="405"/>
      <c r="F105" s="405"/>
      <c r="G105" s="406"/>
      <c r="H105" s="11"/>
      <c r="I105" s="11"/>
      <c r="J105" s="11"/>
      <c r="K105" s="11">
        <v>18</v>
      </c>
      <c r="L105" s="11">
        <f>SUM(H105:K105)</f>
        <v>18</v>
      </c>
    </row>
    <row r="106" spans="1:12" ht="25.5" customHeight="1">
      <c r="A106" s="75" t="s">
        <v>204</v>
      </c>
      <c r="B106" s="401" t="s">
        <v>902</v>
      </c>
      <c r="C106" s="402"/>
      <c r="D106" s="402"/>
      <c r="E106" s="402"/>
      <c r="F106" s="402"/>
      <c r="G106" s="403"/>
      <c r="H106" s="10">
        <f>SUM(H107)</f>
        <v>0</v>
      </c>
      <c r="I106" s="10">
        <f>SUM(I107)</f>
        <v>0</v>
      </c>
      <c r="J106" s="10">
        <f>SUM(J107)</f>
        <v>0</v>
      </c>
      <c r="K106" s="10">
        <f>SUM(K107)</f>
        <v>35371</v>
      </c>
      <c r="L106" s="10">
        <f>SUM(H106:K106)</f>
        <v>35371</v>
      </c>
    </row>
    <row r="107" spans="1:12" ht="12.75">
      <c r="A107" s="75" t="s">
        <v>205</v>
      </c>
      <c r="B107" s="404" t="s">
        <v>1382</v>
      </c>
      <c r="C107" s="405"/>
      <c r="D107" s="405"/>
      <c r="E107" s="405"/>
      <c r="F107" s="405"/>
      <c r="G107" s="406"/>
      <c r="H107" s="11"/>
      <c r="I107" s="11"/>
      <c r="J107" s="11"/>
      <c r="K107" s="11">
        <v>35371</v>
      </c>
      <c r="L107" s="11">
        <f>SUM(H107:K107)</f>
        <v>35371</v>
      </c>
    </row>
    <row r="108" spans="1:12" ht="12.75">
      <c r="A108" s="75" t="s">
        <v>206</v>
      </c>
      <c r="B108" s="401" t="s">
        <v>938</v>
      </c>
      <c r="C108" s="402"/>
      <c r="D108" s="402"/>
      <c r="E108" s="402"/>
      <c r="F108" s="402"/>
      <c r="G108" s="403"/>
      <c r="H108" s="10">
        <f>SUM(H109:H111)</f>
        <v>29772</v>
      </c>
      <c r="I108" s="10">
        <f>SUM(I109:I111)</f>
        <v>0</v>
      </c>
      <c r="J108" s="10">
        <f>SUM(J109:J111)</f>
        <v>0</v>
      </c>
      <c r="K108" s="10">
        <f>SUM(K109:K111)</f>
        <v>0</v>
      </c>
      <c r="L108" s="10">
        <f>SUM(H108:K108)</f>
        <v>29772</v>
      </c>
    </row>
    <row r="109" spans="1:12" ht="12.75" customHeight="1">
      <c r="A109" s="75" t="s">
        <v>207</v>
      </c>
      <c r="B109" s="408" t="s">
        <v>47</v>
      </c>
      <c r="C109" s="409"/>
      <c r="D109" s="409"/>
      <c r="E109" s="409"/>
      <c r="F109" s="409"/>
      <c r="G109" s="410"/>
      <c r="H109" s="11">
        <v>1000</v>
      </c>
      <c r="I109" s="11"/>
      <c r="J109" s="11"/>
      <c r="K109" s="11"/>
      <c r="L109" s="11">
        <f aca="true" t="shared" si="6" ref="L109:L115">SUM(H109:K109)</f>
        <v>1000</v>
      </c>
    </row>
    <row r="110" spans="1:12" ht="12.75">
      <c r="A110" s="75" t="s">
        <v>208</v>
      </c>
      <c r="B110" s="408" t="s">
        <v>934</v>
      </c>
      <c r="C110" s="409"/>
      <c r="D110" s="409"/>
      <c r="E110" s="409"/>
      <c r="F110" s="409"/>
      <c r="G110" s="410"/>
      <c r="H110" s="11">
        <v>23638</v>
      </c>
      <c r="I110" s="11"/>
      <c r="J110" s="11"/>
      <c r="K110" s="11"/>
      <c r="L110" s="11">
        <f t="shared" si="6"/>
        <v>23638</v>
      </c>
    </row>
    <row r="111" spans="1:12" ht="12.75">
      <c r="A111" s="75" t="s">
        <v>209</v>
      </c>
      <c r="B111" s="408" t="s">
        <v>935</v>
      </c>
      <c r="C111" s="409"/>
      <c r="D111" s="409"/>
      <c r="E111" s="409"/>
      <c r="F111" s="409"/>
      <c r="G111" s="410"/>
      <c r="H111" s="11">
        <v>5134</v>
      </c>
      <c r="I111" s="11"/>
      <c r="J111" s="11"/>
      <c r="K111" s="11"/>
      <c r="L111" s="11">
        <f t="shared" si="6"/>
        <v>5134</v>
      </c>
    </row>
    <row r="112" spans="1:12" ht="12.75">
      <c r="A112" s="75" t="s">
        <v>210</v>
      </c>
      <c r="B112" s="401" t="s">
        <v>978</v>
      </c>
      <c r="C112" s="402"/>
      <c r="D112" s="402"/>
      <c r="E112" s="402"/>
      <c r="F112" s="402"/>
      <c r="G112" s="403"/>
      <c r="H112" s="12">
        <f>SUM(H113)</f>
        <v>0</v>
      </c>
      <c r="I112" s="12">
        <f>SUM(I113:I114)</f>
        <v>0</v>
      </c>
      <c r="J112" s="12">
        <f>SUM(J113)</f>
        <v>0</v>
      </c>
      <c r="K112" s="12">
        <f>SUM(K113)</f>
        <v>2200</v>
      </c>
      <c r="L112" s="12">
        <f>SUM(H112:K112)</f>
        <v>2200</v>
      </c>
    </row>
    <row r="113" spans="1:12" ht="26.25" customHeight="1">
      <c r="A113" s="75" t="s">
        <v>211</v>
      </c>
      <c r="B113" s="408" t="s">
        <v>973</v>
      </c>
      <c r="C113" s="409"/>
      <c r="D113" s="409"/>
      <c r="E113" s="409"/>
      <c r="F113" s="409"/>
      <c r="G113" s="410"/>
      <c r="H113" s="11"/>
      <c r="I113" s="11"/>
      <c r="J113" s="11"/>
      <c r="K113" s="11">
        <v>2200</v>
      </c>
      <c r="L113" s="11">
        <f t="shared" si="6"/>
        <v>2200</v>
      </c>
    </row>
    <row r="114" spans="1:12" ht="12.75">
      <c r="A114" s="75" t="s">
        <v>212</v>
      </c>
      <c r="B114" s="401" t="s">
        <v>976</v>
      </c>
      <c r="C114" s="402"/>
      <c r="D114" s="402"/>
      <c r="E114" s="402"/>
      <c r="F114" s="402"/>
      <c r="G114" s="403"/>
      <c r="H114" s="12">
        <f>SUM(H115)</f>
        <v>0</v>
      </c>
      <c r="I114" s="12">
        <f>SUM(I115:I118)</f>
        <v>0</v>
      </c>
      <c r="J114" s="12">
        <f>SUM(J115)</f>
        <v>0</v>
      </c>
      <c r="K114" s="12">
        <f>SUM(K115)</f>
        <v>18900</v>
      </c>
      <c r="L114" s="12">
        <f t="shared" si="6"/>
        <v>18900</v>
      </c>
    </row>
    <row r="115" spans="1:12" ht="12.75">
      <c r="A115" s="75" t="s">
        <v>213</v>
      </c>
      <c r="B115" s="408" t="s">
        <v>974</v>
      </c>
      <c r="C115" s="409"/>
      <c r="D115" s="409"/>
      <c r="E115" s="409"/>
      <c r="F115" s="409"/>
      <c r="G115" s="410"/>
      <c r="H115" s="11"/>
      <c r="I115" s="11"/>
      <c r="J115" s="11"/>
      <c r="K115" s="11">
        <v>18900</v>
      </c>
      <c r="L115" s="11">
        <f t="shared" si="6"/>
        <v>18900</v>
      </c>
    </row>
    <row r="116" spans="1:12" ht="12.75">
      <c r="A116" s="75" t="s">
        <v>214</v>
      </c>
      <c r="B116" s="401" t="s">
        <v>1070</v>
      </c>
      <c r="C116" s="402"/>
      <c r="D116" s="402"/>
      <c r="E116" s="402"/>
      <c r="F116" s="402"/>
      <c r="G116" s="403"/>
      <c r="H116" s="12">
        <f>SUM(H117)</f>
        <v>0</v>
      </c>
      <c r="I116" s="12">
        <f>SUM(I117:I121)</f>
        <v>0</v>
      </c>
      <c r="J116" s="12">
        <f>SUM(J117)</f>
        <v>0</v>
      </c>
      <c r="K116" s="12">
        <f>SUM(K117)</f>
        <v>15150</v>
      </c>
      <c r="L116" s="12">
        <f>SUM(H116:K116)</f>
        <v>15150</v>
      </c>
    </row>
    <row r="117" spans="1:12" ht="12.75">
      <c r="A117" s="75" t="s">
        <v>215</v>
      </c>
      <c r="B117" s="408" t="s">
        <v>1390</v>
      </c>
      <c r="C117" s="409"/>
      <c r="D117" s="409"/>
      <c r="E117" s="409"/>
      <c r="F117" s="409"/>
      <c r="G117" s="410"/>
      <c r="H117" s="11"/>
      <c r="I117" s="11"/>
      <c r="J117" s="11"/>
      <c r="K117" s="11">
        <v>15150</v>
      </c>
      <c r="L117" s="11">
        <f>SUM(H117:K117)</f>
        <v>15150</v>
      </c>
    </row>
    <row r="118" spans="1:12" ht="12.75">
      <c r="A118" s="75" t="s">
        <v>242</v>
      </c>
      <c r="B118" s="401" t="s">
        <v>939</v>
      </c>
      <c r="C118" s="402"/>
      <c r="D118" s="402"/>
      <c r="E118" s="402"/>
      <c r="F118" s="402"/>
      <c r="G118" s="403"/>
      <c r="H118" s="10">
        <f>SUM(H119)</f>
        <v>1000</v>
      </c>
      <c r="I118" s="10">
        <f>SUM(I119)</f>
        <v>0</v>
      </c>
      <c r="J118" s="10">
        <f>SUM(J119)</f>
        <v>0</v>
      </c>
      <c r="K118" s="10">
        <f>SUM(K119)</f>
        <v>4000</v>
      </c>
      <c r="L118" s="10">
        <f>SUM(H118:K118)</f>
        <v>5000</v>
      </c>
    </row>
    <row r="119" spans="1:12" ht="12.75" customHeight="1">
      <c r="A119" s="75" t="s">
        <v>243</v>
      </c>
      <c r="B119" s="408" t="s">
        <v>940</v>
      </c>
      <c r="C119" s="409"/>
      <c r="D119" s="409"/>
      <c r="E119" s="409"/>
      <c r="F119" s="409"/>
      <c r="G119" s="410"/>
      <c r="H119" s="11">
        <v>1000</v>
      </c>
      <c r="I119" s="11"/>
      <c r="J119" s="11"/>
      <c r="K119" s="11">
        <v>4000</v>
      </c>
      <c r="L119" s="11">
        <f>SUM(H119:K119)</f>
        <v>5000</v>
      </c>
    </row>
    <row r="120" spans="1:12" ht="25.5" customHeight="1">
      <c r="A120" s="75" t="s">
        <v>244</v>
      </c>
      <c r="B120" s="421" t="s">
        <v>581</v>
      </c>
      <c r="C120" s="422"/>
      <c r="D120" s="422"/>
      <c r="E120" s="422"/>
      <c r="F120" s="422"/>
      <c r="G120" s="422"/>
      <c r="H120" s="422"/>
      <c r="I120" s="422"/>
      <c r="J120" s="422"/>
      <c r="K120" s="422"/>
      <c r="L120" s="423"/>
    </row>
    <row r="121" spans="1:12" ht="12.75">
      <c r="A121" s="75" t="s">
        <v>245</v>
      </c>
      <c r="B121" s="401" t="s">
        <v>921</v>
      </c>
      <c r="C121" s="402"/>
      <c r="D121" s="402"/>
      <c r="E121" s="402"/>
      <c r="F121" s="402"/>
      <c r="G121" s="403"/>
      <c r="H121" s="10">
        <f>SUM(H122:H123)</f>
        <v>0</v>
      </c>
      <c r="I121" s="10">
        <f>SUM(I122:I123)</f>
        <v>0</v>
      </c>
      <c r="J121" s="10">
        <f>SUM(J122:J123)</f>
        <v>2000</v>
      </c>
      <c r="K121" s="10">
        <f>SUM(K122:K123)</f>
        <v>0</v>
      </c>
      <c r="L121" s="10">
        <f>SUM(H121:K121)</f>
        <v>2000</v>
      </c>
    </row>
    <row r="122" spans="1:12" ht="12.75" customHeight="1">
      <c r="A122" s="75" t="s">
        <v>246</v>
      </c>
      <c r="B122" s="408" t="s">
        <v>922</v>
      </c>
      <c r="C122" s="409"/>
      <c r="D122" s="409"/>
      <c r="E122" s="409"/>
      <c r="F122" s="409"/>
      <c r="G122" s="410"/>
      <c r="H122" s="11"/>
      <c r="I122" s="11"/>
      <c r="J122" s="11">
        <v>2000</v>
      </c>
      <c r="K122" s="11"/>
      <c r="L122" s="11">
        <f>SUM(H122:K122)</f>
        <v>2000</v>
      </c>
    </row>
    <row r="123" spans="1:12" ht="25.5" customHeight="1">
      <c r="A123" s="75" t="s">
        <v>247</v>
      </c>
      <c r="B123" s="421" t="s">
        <v>224</v>
      </c>
      <c r="C123" s="422"/>
      <c r="D123" s="422"/>
      <c r="E123" s="422"/>
      <c r="F123" s="422"/>
      <c r="G123" s="422"/>
      <c r="H123" s="422"/>
      <c r="I123" s="422"/>
      <c r="J123" s="422"/>
      <c r="K123" s="422"/>
      <c r="L123" s="423"/>
    </row>
    <row r="124" spans="1:12" s="6" customFormat="1" ht="12.75">
      <c r="A124" s="75" t="s">
        <v>248</v>
      </c>
      <c r="B124" s="401"/>
      <c r="C124" s="402"/>
      <c r="D124" s="402"/>
      <c r="E124" s="402"/>
      <c r="F124" s="402"/>
      <c r="G124" s="403"/>
      <c r="H124" s="10">
        <f>SUM(H125:H138)</f>
        <v>29390</v>
      </c>
      <c r="I124" s="10">
        <f>SUM(I125:I138)</f>
        <v>0</v>
      </c>
      <c r="J124" s="10">
        <f>SUM(J125:J138)</f>
        <v>0</v>
      </c>
      <c r="K124" s="10">
        <f>SUM(K125:K138)</f>
        <v>331486</v>
      </c>
      <c r="L124" s="10">
        <f>SUM(H124:K124)</f>
        <v>360876</v>
      </c>
    </row>
    <row r="125" spans="1:12" ht="12.75">
      <c r="A125" s="75" t="s">
        <v>249</v>
      </c>
      <c r="B125" s="404" t="s">
        <v>911</v>
      </c>
      <c r="C125" s="405"/>
      <c r="D125" s="405"/>
      <c r="E125" s="405"/>
      <c r="F125" s="405"/>
      <c r="G125" s="406"/>
      <c r="H125" s="11"/>
      <c r="I125" s="11"/>
      <c r="J125" s="11"/>
      <c r="K125" s="11">
        <v>30000</v>
      </c>
      <c r="L125" s="11">
        <f aca="true" t="shared" si="7" ref="L125:L138">SUM(H125:K125)</f>
        <v>30000</v>
      </c>
    </row>
    <row r="126" spans="1:12" ht="12.75">
      <c r="A126" s="75" t="s">
        <v>250</v>
      </c>
      <c r="B126" s="404" t="s">
        <v>906</v>
      </c>
      <c r="C126" s="405"/>
      <c r="D126" s="405"/>
      <c r="E126" s="405"/>
      <c r="F126" s="405"/>
      <c r="G126" s="406"/>
      <c r="H126" s="11"/>
      <c r="I126" s="11"/>
      <c r="J126" s="11"/>
      <c r="K126" s="11">
        <v>70320</v>
      </c>
      <c r="L126" s="11">
        <f t="shared" si="7"/>
        <v>70320</v>
      </c>
    </row>
    <row r="127" spans="1:12" ht="12.75">
      <c r="A127" s="75" t="s">
        <v>251</v>
      </c>
      <c r="B127" s="407" t="s">
        <v>875</v>
      </c>
      <c r="C127" s="407"/>
      <c r="D127" s="407"/>
      <c r="E127" s="407"/>
      <c r="F127" s="407"/>
      <c r="G127" s="407"/>
      <c r="H127" s="11"/>
      <c r="I127" s="11"/>
      <c r="J127" s="11"/>
      <c r="K127" s="11"/>
      <c r="L127" s="11">
        <f t="shared" si="7"/>
        <v>0</v>
      </c>
    </row>
    <row r="128" spans="1:12" ht="12.75">
      <c r="A128" s="75" t="s">
        <v>252</v>
      </c>
      <c r="B128" s="404" t="s">
        <v>941</v>
      </c>
      <c r="C128" s="405"/>
      <c r="D128" s="405"/>
      <c r="E128" s="405"/>
      <c r="F128" s="405"/>
      <c r="G128" s="406"/>
      <c r="H128" s="11"/>
      <c r="I128" s="11"/>
      <c r="J128" s="11"/>
      <c r="K128" s="11">
        <v>0</v>
      </c>
      <c r="L128" s="11">
        <f t="shared" si="7"/>
        <v>0</v>
      </c>
    </row>
    <row r="129" spans="1:12" ht="12.75">
      <c r="A129" s="75" t="s">
        <v>253</v>
      </c>
      <c r="B129" s="404" t="s">
        <v>876</v>
      </c>
      <c r="C129" s="448"/>
      <c r="D129" s="448"/>
      <c r="E129" s="448"/>
      <c r="F129" s="448"/>
      <c r="G129" s="449"/>
      <c r="H129" s="11">
        <v>4390</v>
      </c>
      <c r="I129" s="11"/>
      <c r="J129" s="11"/>
      <c r="K129" s="11"/>
      <c r="L129" s="11">
        <f t="shared" si="7"/>
        <v>4390</v>
      </c>
    </row>
    <row r="130" spans="1:12" ht="12.75">
      <c r="A130" s="75" t="s">
        <v>254</v>
      </c>
      <c r="B130" s="404" t="s">
        <v>877</v>
      </c>
      <c r="C130" s="405"/>
      <c r="D130" s="405"/>
      <c r="E130" s="405"/>
      <c r="F130" s="405"/>
      <c r="G130" s="406"/>
      <c r="H130" s="11">
        <v>25000</v>
      </c>
      <c r="I130" s="11"/>
      <c r="J130" s="11"/>
      <c r="K130" s="11">
        <v>30000</v>
      </c>
      <c r="L130" s="11">
        <f t="shared" si="7"/>
        <v>55000</v>
      </c>
    </row>
    <row r="131" spans="1:12" ht="12.75">
      <c r="A131" s="75" t="s">
        <v>255</v>
      </c>
      <c r="B131" s="404" t="s">
        <v>878</v>
      </c>
      <c r="C131" s="405"/>
      <c r="D131" s="405"/>
      <c r="E131" s="405"/>
      <c r="F131" s="405"/>
      <c r="G131" s="406"/>
      <c r="H131" s="11"/>
      <c r="I131" s="11"/>
      <c r="J131" s="11"/>
      <c r="K131" s="11"/>
      <c r="L131" s="11">
        <f t="shared" si="7"/>
        <v>0</v>
      </c>
    </row>
    <row r="132" spans="1:12" ht="12.75" customHeight="1">
      <c r="A132" s="75" t="s">
        <v>256</v>
      </c>
      <c r="B132" s="404" t="s">
        <v>942</v>
      </c>
      <c r="C132" s="405"/>
      <c r="D132" s="405"/>
      <c r="E132" s="405"/>
      <c r="F132" s="405"/>
      <c r="G132" s="406"/>
      <c r="H132" s="11"/>
      <c r="I132" s="11"/>
      <c r="J132" s="11"/>
      <c r="K132" s="11">
        <v>30000</v>
      </c>
      <c r="L132" s="11">
        <f t="shared" si="7"/>
        <v>30000</v>
      </c>
    </row>
    <row r="133" spans="1:12" ht="12.75" customHeight="1">
      <c r="A133" s="75" t="s">
        <v>257</v>
      </c>
      <c r="B133" s="404" t="s">
        <v>880</v>
      </c>
      <c r="C133" s="445"/>
      <c r="D133" s="445"/>
      <c r="E133" s="445"/>
      <c r="F133" s="445"/>
      <c r="G133" s="446"/>
      <c r="H133" s="11"/>
      <c r="I133" s="11"/>
      <c r="J133" s="11"/>
      <c r="K133" s="11">
        <v>20000</v>
      </c>
      <c r="L133" s="11">
        <f t="shared" si="7"/>
        <v>20000</v>
      </c>
    </row>
    <row r="134" spans="1:12" ht="12.75" customHeight="1">
      <c r="A134" s="75" t="s">
        <v>258</v>
      </c>
      <c r="B134" s="404" t="s">
        <v>881</v>
      </c>
      <c r="C134" s="445"/>
      <c r="D134" s="445"/>
      <c r="E134" s="445"/>
      <c r="F134" s="445"/>
      <c r="G134" s="446"/>
      <c r="H134" s="11"/>
      <c r="I134" s="11"/>
      <c r="J134" s="11"/>
      <c r="K134" s="11"/>
      <c r="L134" s="11">
        <f t="shared" si="7"/>
        <v>0</v>
      </c>
    </row>
    <row r="135" spans="1:12" ht="12.75" customHeight="1">
      <c r="A135" s="75" t="s">
        <v>259</v>
      </c>
      <c r="B135" s="404" t="s">
        <v>89</v>
      </c>
      <c r="C135" s="445"/>
      <c r="D135" s="445"/>
      <c r="E135" s="445"/>
      <c r="F135" s="445"/>
      <c r="G135" s="446"/>
      <c r="H135" s="11"/>
      <c r="I135" s="11"/>
      <c r="J135" s="11"/>
      <c r="K135" s="11">
        <v>0</v>
      </c>
      <c r="L135" s="11">
        <f t="shared" si="7"/>
        <v>0</v>
      </c>
    </row>
    <row r="136" spans="1:12" ht="12.75" customHeight="1">
      <c r="A136" s="75" t="s">
        <v>260</v>
      </c>
      <c r="B136" s="404" t="s">
        <v>1391</v>
      </c>
      <c r="C136" s="445"/>
      <c r="D136" s="445"/>
      <c r="E136" s="445"/>
      <c r="F136" s="445"/>
      <c r="G136" s="446"/>
      <c r="H136" s="11"/>
      <c r="I136" s="11"/>
      <c r="J136" s="11"/>
      <c r="K136" s="11">
        <v>0</v>
      </c>
      <c r="L136" s="11">
        <f t="shared" si="7"/>
        <v>0</v>
      </c>
    </row>
    <row r="137" spans="1:12" ht="12.75" customHeight="1">
      <c r="A137" s="75" t="s">
        <v>261</v>
      </c>
      <c r="B137" s="441" t="s">
        <v>1377</v>
      </c>
      <c r="C137" s="442"/>
      <c r="D137" s="442"/>
      <c r="E137" s="442"/>
      <c r="F137" s="442"/>
      <c r="G137" s="443"/>
      <c r="H137" s="11"/>
      <c r="I137" s="11"/>
      <c r="J137" s="11"/>
      <c r="K137" s="11">
        <v>19166</v>
      </c>
      <c r="L137" s="11">
        <f t="shared" si="7"/>
        <v>19166</v>
      </c>
    </row>
    <row r="138" spans="1:12" ht="12.75" customHeight="1">
      <c r="A138" s="75" t="s">
        <v>262</v>
      </c>
      <c r="B138" s="441" t="s">
        <v>1392</v>
      </c>
      <c r="C138" s="442"/>
      <c r="D138" s="442"/>
      <c r="E138" s="442"/>
      <c r="F138" s="442"/>
      <c r="G138" s="443"/>
      <c r="H138" s="11"/>
      <c r="I138" s="11"/>
      <c r="J138" s="11"/>
      <c r="K138" s="11">
        <v>132000</v>
      </c>
      <c r="L138" s="11">
        <f t="shared" si="7"/>
        <v>132000</v>
      </c>
    </row>
    <row r="139" spans="1:12" ht="15">
      <c r="A139" s="75" t="s">
        <v>263</v>
      </c>
      <c r="B139" s="429" t="s">
        <v>63</v>
      </c>
      <c r="C139" s="430"/>
      <c r="D139" s="430"/>
      <c r="E139" s="430"/>
      <c r="F139" s="430"/>
      <c r="G139" s="431"/>
      <c r="H139" s="13"/>
      <c r="I139" s="13"/>
      <c r="J139" s="13"/>
      <c r="K139" s="14"/>
      <c r="L139" s="14"/>
    </row>
    <row r="140" spans="1:12" ht="12.75">
      <c r="A140" s="75" t="s">
        <v>264</v>
      </c>
      <c r="B140" s="401" t="s">
        <v>95</v>
      </c>
      <c r="C140" s="402"/>
      <c r="D140" s="402"/>
      <c r="E140" s="402"/>
      <c r="F140" s="402"/>
      <c r="G140" s="403"/>
      <c r="H140" s="10">
        <f>SUM(H141)</f>
        <v>0</v>
      </c>
      <c r="I140" s="10">
        <f>SUM(I141)</f>
        <v>0</v>
      </c>
      <c r="J140" s="10">
        <f>SUM(J141)</f>
        <v>0</v>
      </c>
      <c r="K140" s="10">
        <f>SUM(K141:K142)</f>
        <v>1622</v>
      </c>
      <c r="L140" s="10">
        <f>SUM(H140:K140)</f>
        <v>1622</v>
      </c>
    </row>
    <row r="141" spans="1:12" s="16" customFormat="1" ht="12.75">
      <c r="A141" s="75" t="s">
        <v>265</v>
      </c>
      <c r="B141" s="411" t="s">
        <v>965</v>
      </c>
      <c r="C141" s="412"/>
      <c r="D141" s="412"/>
      <c r="E141" s="412"/>
      <c r="F141" s="412"/>
      <c r="G141" s="413"/>
      <c r="H141" s="15"/>
      <c r="I141" s="15"/>
      <c r="J141" s="15"/>
      <c r="K141" s="15">
        <v>1400</v>
      </c>
      <c r="L141" s="15">
        <f>SUM(H141:K141)</f>
        <v>1400</v>
      </c>
    </row>
    <row r="142" spans="1:12" s="16" customFormat="1" ht="12.75">
      <c r="A142" s="75" t="s">
        <v>266</v>
      </c>
      <c r="B142" s="455" t="s">
        <v>1344</v>
      </c>
      <c r="C142" s="456"/>
      <c r="D142" s="456"/>
      <c r="E142" s="456"/>
      <c r="F142" s="456"/>
      <c r="G142" s="457"/>
      <c r="H142" s="15"/>
      <c r="I142" s="15"/>
      <c r="J142" s="15"/>
      <c r="K142" s="15">
        <v>222</v>
      </c>
      <c r="L142" s="15">
        <f>SUM(H142:K142)</f>
        <v>222</v>
      </c>
    </row>
    <row r="143" spans="1:12" ht="12.75">
      <c r="A143" s="75" t="s">
        <v>267</v>
      </c>
      <c r="B143" s="401" t="s">
        <v>869</v>
      </c>
      <c r="C143" s="402"/>
      <c r="D143" s="402"/>
      <c r="E143" s="402"/>
      <c r="F143" s="402"/>
      <c r="G143" s="403"/>
      <c r="H143" s="10">
        <f>SUM(H144:H145)</f>
        <v>0</v>
      </c>
      <c r="I143" s="10">
        <f>SUM(I144)</f>
        <v>0</v>
      </c>
      <c r="J143" s="10">
        <f>SUM(J144)</f>
        <v>0</v>
      </c>
      <c r="K143" s="10">
        <f>SUM(K144:K147)</f>
        <v>10812</v>
      </c>
      <c r="L143" s="10">
        <f>SUM(L144:L147)</f>
        <v>10812</v>
      </c>
    </row>
    <row r="144" spans="1:12" s="16" customFormat="1" ht="12.75">
      <c r="A144" s="75" t="s">
        <v>268</v>
      </c>
      <c r="B144" s="411" t="s">
        <v>965</v>
      </c>
      <c r="C144" s="412"/>
      <c r="D144" s="412"/>
      <c r="E144" s="412"/>
      <c r="F144" s="412"/>
      <c r="G144" s="413"/>
      <c r="H144" s="15"/>
      <c r="I144" s="15"/>
      <c r="J144" s="15"/>
      <c r="K144" s="15">
        <v>2468</v>
      </c>
      <c r="L144" s="15">
        <f aca="true" t="shared" si="8" ref="L144:L156">SUM(H144:K144)</f>
        <v>2468</v>
      </c>
    </row>
    <row r="145" spans="1:12" s="16" customFormat="1" ht="12.75">
      <c r="A145" s="75" t="s">
        <v>269</v>
      </c>
      <c r="B145" s="411" t="s">
        <v>966</v>
      </c>
      <c r="C145" s="412"/>
      <c r="D145" s="412"/>
      <c r="E145" s="412"/>
      <c r="F145" s="412"/>
      <c r="G145" s="413"/>
      <c r="H145" s="15"/>
      <c r="I145" s="15"/>
      <c r="J145" s="15"/>
      <c r="K145" s="15">
        <v>1400</v>
      </c>
      <c r="L145" s="15">
        <f t="shared" si="8"/>
        <v>1400</v>
      </c>
    </row>
    <row r="146" spans="1:12" s="16" customFormat="1" ht="12.75">
      <c r="A146" s="75" t="s">
        <v>270</v>
      </c>
      <c r="B146" s="455" t="s">
        <v>1344</v>
      </c>
      <c r="C146" s="456"/>
      <c r="D146" s="456"/>
      <c r="E146" s="456"/>
      <c r="F146" s="456"/>
      <c r="G146" s="457"/>
      <c r="H146" s="15"/>
      <c r="I146" s="15"/>
      <c r="J146" s="15"/>
      <c r="K146" s="15">
        <v>444</v>
      </c>
      <c r="L146" s="15">
        <f t="shared" si="8"/>
        <v>444</v>
      </c>
    </row>
    <row r="147" spans="1:12" s="16" customFormat="1" ht="26.25" customHeight="1">
      <c r="A147" s="75" t="s">
        <v>271</v>
      </c>
      <c r="B147" s="411" t="s">
        <v>1393</v>
      </c>
      <c r="C147" s="412"/>
      <c r="D147" s="412"/>
      <c r="E147" s="412"/>
      <c r="F147" s="412"/>
      <c r="G147" s="413"/>
      <c r="H147" s="15"/>
      <c r="I147" s="15"/>
      <c r="J147" s="15"/>
      <c r="K147" s="15">
        <v>6500</v>
      </c>
      <c r="L147" s="15">
        <f t="shared" si="8"/>
        <v>6500</v>
      </c>
    </row>
    <row r="148" spans="1:12" ht="12.75">
      <c r="A148" s="75" t="s">
        <v>272</v>
      </c>
      <c r="B148" s="401" t="s">
        <v>93</v>
      </c>
      <c r="C148" s="402"/>
      <c r="D148" s="402"/>
      <c r="E148" s="402"/>
      <c r="F148" s="402"/>
      <c r="G148" s="403"/>
      <c r="H148" s="10">
        <f>SUM(H149)</f>
        <v>0</v>
      </c>
      <c r="I148" s="10">
        <f>SUM(I149)</f>
        <v>0</v>
      </c>
      <c r="J148" s="10">
        <f>SUM(J149)</f>
        <v>0</v>
      </c>
      <c r="K148" s="10">
        <f>SUM(K149)</f>
        <v>2310</v>
      </c>
      <c r="L148" s="10">
        <f t="shared" si="8"/>
        <v>2310</v>
      </c>
    </row>
    <row r="149" spans="1:12" s="16" customFormat="1" ht="12.75">
      <c r="A149" s="75" t="s">
        <v>273</v>
      </c>
      <c r="B149" s="411" t="s">
        <v>965</v>
      </c>
      <c r="C149" s="412"/>
      <c r="D149" s="412"/>
      <c r="E149" s="412"/>
      <c r="F149" s="412"/>
      <c r="G149" s="413"/>
      <c r="H149" s="15"/>
      <c r="I149" s="15"/>
      <c r="J149" s="15"/>
      <c r="K149" s="15">
        <v>2310</v>
      </c>
      <c r="L149" s="15">
        <f t="shared" si="8"/>
        <v>2310</v>
      </c>
    </row>
    <row r="150" spans="1:12" ht="12.75">
      <c r="A150" s="75" t="s">
        <v>274</v>
      </c>
      <c r="B150" s="401" t="s">
        <v>94</v>
      </c>
      <c r="C150" s="402"/>
      <c r="D150" s="402"/>
      <c r="E150" s="402"/>
      <c r="F150" s="402"/>
      <c r="G150" s="403"/>
      <c r="H150" s="10">
        <f>SUM(H151)</f>
        <v>0</v>
      </c>
      <c r="I150" s="10">
        <f>SUM(I151)</f>
        <v>0</v>
      </c>
      <c r="J150" s="10">
        <f>SUM(J151)</f>
        <v>0</v>
      </c>
      <c r="K150" s="10">
        <f>SUM(K151)</f>
        <v>714</v>
      </c>
      <c r="L150" s="10">
        <f t="shared" si="8"/>
        <v>714</v>
      </c>
    </row>
    <row r="151" spans="1:12" s="16" customFormat="1" ht="12.75">
      <c r="A151" s="75" t="s">
        <v>275</v>
      </c>
      <c r="B151" s="411" t="s">
        <v>965</v>
      </c>
      <c r="C151" s="412"/>
      <c r="D151" s="412"/>
      <c r="E151" s="412"/>
      <c r="F151" s="412"/>
      <c r="G151" s="413"/>
      <c r="H151" s="15"/>
      <c r="I151" s="15"/>
      <c r="J151" s="15"/>
      <c r="K151" s="15">
        <v>714</v>
      </c>
      <c r="L151" s="15">
        <f t="shared" si="8"/>
        <v>714</v>
      </c>
    </row>
    <row r="152" spans="1:12" ht="12.75">
      <c r="A152" s="75" t="s">
        <v>276</v>
      </c>
      <c r="B152" s="401" t="s">
        <v>96</v>
      </c>
      <c r="C152" s="402"/>
      <c r="D152" s="402"/>
      <c r="E152" s="402"/>
      <c r="F152" s="402"/>
      <c r="G152" s="403"/>
      <c r="H152" s="10">
        <f>SUM(H153)</f>
        <v>0</v>
      </c>
      <c r="I152" s="10">
        <f>SUM(I153)</f>
        <v>0</v>
      </c>
      <c r="J152" s="10">
        <f>SUM(J153)</f>
        <v>0</v>
      </c>
      <c r="K152" s="10">
        <f>SUM(K153)</f>
        <v>1033</v>
      </c>
      <c r="L152" s="10">
        <f t="shared" si="8"/>
        <v>1033</v>
      </c>
    </row>
    <row r="153" spans="1:12" s="16" customFormat="1" ht="12.75">
      <c r="A153" s="75" t="s">
        <v>277</v>
      </c>
      <c r="B153" s="411" t="s">
        <v>965</v>
      </c>
      <c r="C153" s="412"/>
      <c r="D153" s="412"/>
      <c r="E153" s="412"/>
      <c r="F153" s="412"/>
      <c r="G153" s="413"/>
      <c r="H153" s="15"/>
      <c r="I153" s="15"/>
      <c r="J153" s="15"/>
      <c r="K153" s="15">
        <v>1033</v>
      </c>
      <c r="L153" s="15">
        <f t="shared" si="8"/>
        <v>1033</v>
      </c>
    </row>
    <row r="154" spans="1:12" ht="12.75">
      <c r="A154" s="75" t="s">
        <v>278</v>
      </c>
      <c r="B154" s="401" t="s">
        <v>97</v>
      </c>
      <c r="C154" s="402"/>
      <c r="D154" s="402"/>
      <c r="E154" s="402"/>
      <c r="F154" s="402"/>
      <c r="G154" s="403"/>
      <c r="H154" s="10">
        <f>SUM(H155)</f>
        <v>0</v>
      </c>
      <c r="I154" s="10">
        <f>SUM(I155)</f>
        <v>0</v>
      </c>
      <c r="J154" s="10">
        <f>SUM(J155)</f>
        <v>0</v>
      </c>
      <c r="K154" s="10">
        <f>SUM(K155:K156)</f>
        <v>1081</v>
      </c>
      <c r="L154" s="10">
        <f t="shared" si="8"/>
        <v>1081</v>
      </c>
    </row>
    <row r="155" spans="1:12" s="16" customFormat="1" ht="12.75">
      <c r="A155" s="75" t="s">
        <v>279</v>
      </c>
      <c r="B155" s="411" t="s">
        <v>969</v>
      </c>
      <c r="C155" s="412"/>
      <c r="D155" s="412"/>
      <c r="E155" s="412"/>
      <c r="F155" s="412"/>
      <c r="G155" s="413"/>
      <c r="H155" s="15"/>
      <c r="I155" s="15"/>
      <c r="J155" s="15"/>
      <c r="K155" s="15">
        <v>500</v>
      </c>
      <c r="L155" s="15">
        <f t="shared" si="8"/>
        <v>500</v>
      </c>
    </row>
    <row r="156" spans="1:12" s="16" customFormat="1" ht="12.75">
      <c r="A156" s="75" t="s">
        <v>280</v>
      </c>
      <c r="B156" s="455" t="s">
        <v>1346</v>
      </c>
      <c r="C156" s="456"/>
      <c r="D156" s="456"/>
      <c r="E156" s="456"/>
      <c r="F156" s="456"/>
      <c r="G156" s="457"/>
      <c r="H156" s="15"/>
      <c r="I156" s="15"/>
      <c r="J156" s="15"/>
      <c r="K156" s="15">
        <v>581</v>
      </c>
      <c r="L156" s="310">
        <f t="shared" si="8"/>
        <v>581</v>
      </c>
    </row>
    <row r="157" spans="1:12" ht="15.75">
      <c r="A157" s="75" t="s">
        <v>281</v>
      </c>
      <c r="B157" s="17" t="s">
        <v>79</v>
      </c>
      <c r="C157" s="18"/>
      <c r="D157" s="18"/>
      <c r="E157" s="18"/>
      <c r="F157" s="18"/>
      <c r="G157" s="19"/>
      <c r="H157" s="20">
        <f>SUM(H14,H23,H26,H37,H50,H56,H66,H63,H83,H86,H108,H124,H121,H95,H79,H70,H68,H101,H118,H35,H140,H143,H148,H150,H152,H154,H114,H112)</f>
        <v>179078</v>
      </c>
      <c r="I157" s="20">
        <f>SUM(I14,I23,I26,I37,I50,I56,I66,I63,I83,I86,I108,I124,I121,I95,I79,I70,I68,I101,I118,I35,I140,I143,I148,I150,I152,I154,I114,I112)</f>
        <v>1170728</v>
      </c>
      <c r="J157" s="20">
        <f>SUM(J14,J23,J26,J37,J50,J56,J66,J63,J83,J86,J108,J124,J121,J95,J79,J70,J68,J101,J118,J35,J140,J143,J148,J150,J152,J154,J114,J112)</f>
        <v>11779</v>
      </c>
      <c r="K157" s="20">
        <f>K14+K23+K26+K37+K50+K56+K66+K63+K83+K86+K108+K124+K121+K95+K79+K70+K68+K101+K118+K35+K140+K143+K148+K150+K152+K154+K114+K112+K33+K54+K76+K104+K106+K116</f>
        <v>946831</v>
      </c>
      <c r="L157" s="424">
        <f>L14+L23+L26+L33+L35+L37+L50+L54+L56+L63+L66+L68+L70+L76+L79+L83+L86+L95+L101+L104+L106+L108+L112+L114+L116+L118+L121+L124+L140+L143+L148+L150+L152+L154</f>
        <v>2308416</v>
      </c>
    </row>
    <row r="158" spans="1:12" ht="15.75">
      <c r="A158" s="75" t="s">
        <v>282</v>
      </c>
      <c r="B158" s="21"/>
      <c r="C158" s="18"/>
      <c r="D158" s="18"/>
      <c r="E158" s="18"/>
      <c r="F158" s="18"/>
      <c r="G158" s="19"/>
      <c r="H158" s="427">
        <f>SUM(H157:I157)</f>
        <v>1349806</v>
      </c>
      <c r="I158" s="428"/>
      <c r="J158" s="427">
        <f>SUM(J157:K157)</f>
        <v>958610</v>
      </c>
      <c r="K158" s="428"/>
      <c r="L158" s="425"/>
    </row>
    <row r="159" spans="1:12" ht="15.75">
      <c r="A159" s="75" t="s">
        <v>283</v>
      </c>
      <c r="B159" s="17" t="s">
        <v>82</v>
      </c>
      <c r="C159" s="18"/>
      <c r="D159" s="18"/>
      <c r="E159" s="18"/>
      <c r="F159" s="18"/>
      <c r="G159" s="19"/>
      <c r="H159" s="447">
        <f>SUM(H158:J158)</f>
        <v>2308416</v>
      </c>
      <c r="I159" s="447"/>
      <c r="J159" s="447"/>
      <c r="K159" s="447"/>
      <c r="L159" s="426"/>
    </row>
  </sheetData>
  <sheetProtection/>
  <mergeCells count="157">
    <mergeCell ref="B116:G116"/>
    <mergeCell ref="B117:G117"/>
    <mergeCell ref="B137:G137"/>
    <mergeCell ref="B138:G138"/>
    <mergeCell ref="B32:G32"/>
    <mergeCell ref="B156:G156"/>
    <mergeCell ref="B142:G142"/>
    <mergeCell ref="B146:G146"/>
    <mergeCell ref="B147:G147"/>
    <mergeCell ref="B85:L85"/>
    <mergeCell ref="B106:G106"/>
    <mergeCell ref="B107:G107"/>
    <mergeCell ref="B29:G29"/>
    <mergeCell ref="B30:G30"/>
    <mergeCell ref="B31:G31"/>
    <mergeCell ref="B93:G93"/>
    <mergeCell ref="B94:G94"/>
    <mergeCell ref="B33:G33"/>
    <mergeCell ref="B34:G34"/>
    <mergeCell ref="B54:G54"/>
    <mergeCell ref="B38:G38"/>
    <mergeCell ref="B28:G28"/>
    <mergeCell ref="B82:L82"/>
    <mergeCell ref="B41:G41"/>
    <mergeCell ref="B42:G42"/>
    <mergeCell ref="B44:G44"/>
    <mergeCell ref="B53:G53"/>
    <mergeCell ref="B55:G55"/>
    <mergeCell ref="B76:G76"/>
    <mergeCell ref="B77:G77"/>
    <mergeCell ref="B69:G69"/>
    <mergeCell ref="B47:G47"/>
    <mergeCell ref="B48:G48"/>
    <mergeCell ref="B74:G74"/>
    <mergeCell ref="B84:G84"/>
    <mergeCell ref="B75:G75"/>
    <mergeCell ref="B72:G72"/>
    <mergeCell ref="B49:G49"/>
    <mergeCell ref="B78:G78"/>
    <mergeCell ref="B134:G134"/>
    <mergeCell ref="B135:G135"/>
    <mergeCell ref="B111:G111"/>
    <mergeCell ref="B130:G130"/>
    <mergeCell ref="B131:G131"/>
    <mergeCell ref="B129:G129"/>
    <mergeCell ref="B118:G118"/>
    <mergeCell ref="B124:G124"/>
    <mergeCell ref="B121:G121"/>
    <mergeCell ref="B122:G122"/>
    <mergeCell ref="B119:G119"/>
    <mergeCell ref="B113:G113"/>
    <mergeCell ref="B115:G115"/>
    <mergeCell ref="B99:G99"/>
    <mergeCell ref="B114:G114"/>
    <mergeCell ref="B112:G112"/>
    <mergeCell ref="B101:G101"/>
    <mergeCell ref="B110:G110"/>
    <mergeCell ref="B104:G104"/>
    <mergeCell ref="B105:G105"/>
    <mergeCell ref="B91:G91"/>
    <mergeCell ref="B96:G96"/>
    <mergeCell ref="B79:G79"/>
    <mergeCell ref="B92:G92"/>
    <mergeCell ref="B87:G87"/>
    <mergeCell ref="B95:G95"/>
    <mergeCell ref="B83:G83"/>
    <mergeCell ref="B89:G89"/>
    <mergeCell ref="B123:L123"/>
    <mergeCell ref="H158:I158"/>
    <mergeCell ref="H159:K159"/>
    <mergeCell ref="B150:G150"/>
    <mergeCell ref="B151:G151"/>
    <mergeCell ref="B152:G152"/>
    <mergeCell ref="B153:G153"/>
    <mergeCell ref="B154:G154"/>
    <mergeCell ref="B126:G126"/>
    <mergeCell ref="B133:G133"/>
    <mergeCell ref="H11:K11"/>
    <mergeCell ref="B145:G145"/>
    <mergeCell ref="B136:G136"/>
    <mergeCell ref="B144:G144"/>
    <mergeCell ref="B109:G109"/>
    <mergeCell ref="B125:G125"/>
    <mergeCell ref="B120:L120"/>
    <mergeCell ref="B132:G132"/>
    <mergeCell ref="B127:G127"/>
    <mergeCell ref="B128:G128"/>
    <mergeCell ref="B9:G9"/>
    <mergeCell ref="B52:G52"/>
    <mergeCell ref="B10:G10"/>
    <mergeCell ref="B70:G70"/>
    <mergeCell ref="B73:G73"/>
    <mergeCell ref="B108:G108"/>
    <mergeCell ref="B103:L103"/>
    <mergeCell ref="B68:G68"/>
    <mergeCell ref="I12:K12"/>
    <mergeCell ref="B25:G25"/>
    <mergeCell ref="B14:G14"/>
    <mergeCell ref="B65:G65"/>
    <mergeCell ref="B62:G62"/>
    <mergeCell ref="B60:G60"/>
    <mergeCell ref="B61:G61"/>
    <mergeCell ref="B19:G19"/>
    <mergeCell ref="B45:G45"/>
    <mergeCell ref="B46:G46"/>
    <mergeCell ref="B22:G22"/>
    <mergeCell ref="B37:G37"/>
    <mergeCell ref="B97:G97"/>
    <mergeCell ref="B102:G102"/>
    <mergeCell ref="B100:G100"/>
    <mergeCell ref="B98:G98"/>
    <mergeCell ref="B80:G80"/>
    <mergeCell ref="B16:G16"/>
    <mergeCell ref="B17:G17"/>
    <mergeCell ref="B18:G18"/>
    <mergeCell ref="B43:G43"/>
    <mergeCell ref="B90:G90"/>
    <mergeCell ref="L157:L159"/>
    <mergeCell ref="B39:G39"/>
    <mergeCell ref="B155:G155"/>
    <mergeCell ref="J158:K158"/>
    <mergeCell ref="B141:G141"/>
    <mergeCell ref="B140:G140"/>
    <mergeCell ref="B86:G86"/>
    <mergeCell ref="B67:G67"/>
    <mergeCell ref="B139:G139"/>
    <mergeCell ref="B63:G63"/>
    <mergeCell ref="A4:L4"/>
    <mergeCell ref="A5:L5"/>
    <mergeCell ref="A3:L3"/>
    <mergeCell ref="L10:L12"/>
    <mergeCell ref="B13:L13"/>
    <mergeCell ref="B40:G40"/>
    <mergeCell ref="B15:G15"/>
    <mergeCell ref="B23:G23"/>
    <mergeCell ref="B20:G20"/>
    <mergeCell ref="A6:L6"/>
    <mergeCell ref="B24:G24"/>
    <mergeCell ref="B149:G149"/>
    <mergeCell ref="B143:G143"/>
    <mergeCell ref="B21:G21"/>
    <mergeCell ref="B35:G35"/>
    <mergeCell ref="B36:G36"/>
    <mergeCell ref="B64:G64"/>
    <mergeCell ref="B50:G50"/>
    <mergeCell ref="B56:G56"/>
    <mergeCell ref="B148:G148"/>
    <mergeCell ref="B26:G26"/>
    <mergeCell ref="B88:G88"/>
    <mergeCell ref="B66:G66"/>
    <mergeCell ref="B71:G71"/>
    <mergeCell ref="B27:G27"/>
    <mergeCell ref="B51:G51"/>
    <mergeCell ref="B57:G57"/>
    <mergeCell ref="B58:G58"/>
    <mergeCell ref="B59:G59"/>
    <mergeCell ref="B81:G81"/>
  </mergeCells>
  <printOptions horizontalCentered="1"/>
  <pageMargins left="0.5905511811023623" right="0.5905511811023623" top="1.3779527559055118" bottom="0.984251968503937" header="0.5118110236220472" footer="0.5118110236220472"/>
  <pageSetup horizontalDpi="600" verticalDpi="600" orientation="portrait" paperSize="8" scale="80" r:id="rId1"/>
  <headerFooter alignWithMargins="0">
    <oddHeader>&amp;C&amp;"Arial,Félkövér"&amp;12
</oddHeader>
    <oddFooter>&amp;L&amp;D&amp;C&amp;P</oddFooter>
  </headerFooter>
  <rowBreaks count="1" manualBreakCount="1">
    <brk id="84" max="11" man="1"/>
  </rowBreaks>
</worksheet>
</file>

<file path=xl/worksheets/sheet2.xml><?xml version="1.0" encoding="utf-8"?>
<worksheet xmlns="http://schemas.openxmlformats.org/spreadsheetml/2006/main" xmlns:r="http://schemas.openxmlformats.org/officeDocument/2006/relationships">
  <dimension ref="A1:N609"/>
  <sheetViews>
    <sheetView view="pageBreakPreview" zoomScaleSheetLayoutView="100" zoomScalePageLayoutView="0" workbookViewId="0" topLeftCell="A1">
      <selection activeCell="E67" sqref="E67"/>
    </sheetView>
  </sheetViews>
  <sheetFormatPr defaultColWidth="9.140625" defaultRowHeight="15"/>
  <cols>
    <col min="1" max="1" width="4.28125" style="61" customWidth="1"/>
    <col min="2" max="2" width="5.140625" style="61" customWidth="1"/>
    <col min="3" max="4" width="4.28125" style="61" customWidth="1"/>
    <col min="5" max="11" width="9.140625" style="61" customWidth="1"/>
    <col min="12" max="12" width="10.140625" style="61" bestFit="1" customWidth="1"/>
    <col min="13" max="13" width="4.7109375" style="61" customWidth="1"/>
    <col min="14" max="14" width="10.140625" style="61" bestFit="1" customWidth="1"/>
    <col min="15" max="16384" width="9.140625" style="61" customWidth="1"/>
  </cols>
  <sheetData>
    <row r="1" spans="1:14" s="276" customFormat="1" ht="42.75" customHeight="1">
      <c r="A1" s="327" t="s">
        <v>1396</v>
      </c>
      <c r="B1" s="327"/>
      <c r="C1" s="327"/>
      <c r="D1" s="327"/>
      <c r="E1" s="327"/>
      <c r="F1" s="327"/>
      <c r="G1" s="327"/>
      <c r="H1" s="327"/>
      <c r="I1" s="327"/>
      <c r="J1" s="327"/>
      <c r="K1" s="327"/>
      <c r="L1" s="327"/>
      <c r="M1" s="327"/>
      <c r="N1" s="327"/>
    </row>
    <row r="3" spans="1:14" ht="95.25" customHeight="1">
      <c r="A3" s="328" t="s">
        <v>1376</v>
      </c>
      <c r="B3" s="329"/>
      <c r="C3" s="329"/>
      <c r="D3" s="329"/>
      <c r="E3" s="329"/>
      <c r="F3" s="329"/>
      <c r="G3" s="329"/>
      <c r="H3" s="329"/>
      <c r="I3" s="329"/>
      <c r="J3" s="329"/>
      <c r="K3" s="329"/>
      <c r="L3" s="329"/>
      <c r="M3" s="329"/>
      <c r="N3" s="329"/>
    </row>
    <row r="5" ht="14.25">
      <c r="N5" s="265" t="s">
        <v>8</v>
      </c>
    </row>
    <row r="6" ht="14.25">
      <c r="N6" s="265"/>
    </row>
    <row r="7" spans="12:14" ht="14.25">
      <c r="L7" s="61" t="s">
        <v>992</v>
      </c>
      <c r="N7" s="61" t="s">
        <v>993</v>
      </c>
    </row>
    <row r="9" ht="15.75">
      <c r="A9" s="157" t="s">
        <v>990</v>
      </c>
    </row>
    <row r="10" ht="15.75">
      <c r="A10" s="157" t="s">
        <v>992</v>
      </c>
    </row>
    <row r="12" spans="1:14" s="62" customFormat="1" ht="14.25">
      <c r="A12" s="62" t="s">
        <v>20</v>
      </c>
      <c r="B12" s="62" t="s">
        <v>994</v>
      </c>
      <c r="L12" s="277">
        <f>SUM(L14,L41,L55)</f>
        <v>173260</v>
      </c>
      <c r="M12" s="277"/>
      <c r="N12" s="277"/>
    </row>
    <row r="13" spans="12:14" s="62" customFormat="1" ht="14.25">
      <c r="L13" s="277"/>
      <c r="M13" s="277"/>
      <c r="N13" s="277"/>
    </row>
    <row r="14" spans="2:14" s="278" customFormat="1" ht="14.25">
      <c r="B14" s="279" t="s">
        <v>995</v>
      </c>
      <c r="C14" s="278" t="s">
        <v>996</v>
      </c>
      <c r="L14" s="280">
        <f>SUM(L16:L39)</f>
        <v>-13087</v>
      </c>
      <c r="M14" s="280"/>
      <c r="N14" s="280"/>
    </row>
    <row r="15" spans="3:14" ht="14.25">
      <c r="C15" s="267" t="s">
        <v>997</v>
      </c>
      <c r="D15" s="61" t="s">
        <v>998</v>
      </c>
      <c r="L15" s="268"/>
      <c r="M15" s="268"/>
      <c r="N15" s="268"/>
    </row>
    <row r="16" spans="4:14" ht="14.25">
      <c r="D16" s="267" t="s">
        <v>999</v>
      </c>
      <c r="E16" s="61" t="s">
        <v>991</v>
      </c>
      <c r="L16" s="268">
        <v>1298</v>
      </c>
      <c r="M16" s="268"/>
      <c r="N16" s="268"/>
    </row>
    <row r="17" spans="4:14" ht="14.25">
      <c r="D17" s="267" t="s">
        <v>999</v>
      </c>
      <c r="E17" s="61" t="s">
        <v>1000</v>
      </c>
      <c r="L17" s="268">
        <v>1889</v>
      </c>
      <c r="M17" s="268"/>
      <c r="N17" s="268"/>
    </row>
    <row r="18" spans="4:14" ht="14.25">
      <c r="D18" s="267" t="s">
        <v>999</v>
      </c>
      <c r="E18" s="61" t="s">
        <v>1001</v>
      </c>
      <c r="L18" s="268">
        <v>911</v>
      </c>
      <c r="M18" s="268"/>
      <c r="N18" s="268"/>
    </row>
    <row r="19" spans="4:14" ht="14.25">
      <c r="D19" s="267" t="s">
        <v>999</v>
      </c>
      <c r="E19" s="61" t="s">
        <v>96</v>
      </c>
      <c r="L19" s="268">
        <v>1547</v>
      </c>
      <c r="M19" s="268"/>
      <c r="N19" s="268"/>
    </row>
    <row r="20" spans="4:14" ht="14.25">
      <c r="D20" s="267" t="s">
        <v>999</v>
      </c>
      <c r="E20" s="61" t="s">
        <v>97</v>
      </c>
      <c r="L20" s="268">
        <v>1198</v>
      </c>
      <c r="M20" s="268"/>
      <c r="N20" s="268"/>
    </row>
    <row r="21" spans="4:14" ht="14.25">
      <c r="D21" s="267" t="s">
        <v>999</v>
      </c>
      <c r="E21" s="61" t="s">
        <v>94</v>
      </c>
      <c r="L21" s="268">
        <v>114</v>
      </c>
      <c r="M21" s="268"/>
      <c r="N21" s="268"/>
    </row>
    <row r="22" spans="4:14" ht="14.25">
      <c r="D22" s="267" t="s">
        <v>999</v>
      </c>
      <c r="E22" s="61" t="s">
        <v>93</v>
      </c>
      <c r="L22" s="268">
        <v>386</v>
      </c>
      <c r="M22" s="268"/>
      <c r="N22" s="268"/>
    </row>
    <row r="23" spans="4:14" ht="14.25">
      <c r="D23" s="267" t="s">
        <v>999</v>
      </c>
      <c r="E23" s="61" t="s">
        <v>95</v>
      </c>
      <c r="L23" s="268">
        <v>591</v>
      </c>
      <c r="M23" s="268"/>
      <c r="N23" s="268"/>
    </row>
    <row r="24" spans="4:14" ht="14.25">
      <c r="D24" s="267" t="s">
        <v>999</v>
      </c>
      <c r="E24" s="61" t="s">
        <v>869</v>
      </c>
      <c r="L24" s="268">
        <v>2816</v>
      </c>
      <c r="M24" s="268"/>
      <c r="N24" s="268"/>
    </row>
    <row r="25" spans="4:14" ht="14.25">
      <c r="D25" s="267" t="s">
        <v>999</v>
      </c>
      <c r="E25" s="61" t="s">
        <v>1002</v>
      </c>
      <c r="L25" s="268">
        <v>873</v>
      </c>
      <c r="M25" s="268"/>
      <c r="N25" s="268"/>
    </row>
    <row r="26" spans="3:14" ht="14.25">
      <c r="C26" s="267" t="s">
        <v>997</v>
      </c>
      <c r="D26" s="61" t="s">
        <v>1003</v>
      </c>
      <c r="L26" s="268"/>
      <c r="M26" s="268"/>
      <c r="N26" s="268"/>
    </row>
    <row r="27" spans="4:14" ht="14.25">
      <c r="D27" s="267" t="s">
        <v>999</v>
      </c>
      <c r="E27" s="61" t="s">
        <v>1004</v>
      </c>
      <c r="L27" s="268">
        <v>319</v>
      </c>
      <c r="M27" s="268"/>
      <c r="N27" s="268"/>
    </row>
    <row r="28" spans="4:14" ht="14.25">
      <c r="D28" s="267" t="s">
        <v>999</v>
      </c>
      <c r="E28" s="61" t="s">
        <v>1005</v>
      </c>
      <c r="L28" s="268">
        <v>71</v>
      </c>
      <c r="M28" s="268"/>
      <c r="N28" s="268"/>
    </row>
    <row r="29" spans="4:14" ht="14.25">
      <c r="D29" s="267" t="s">
        <v>999</v>
      </c>
      <c r="E29" s="61" t="s">
        <v>1006</v>
      </c>
      <c r="L29" s="268">
        <v>83</v>
      </c>
      <c r="M29" s="268"/>
      <c r="N29" s="268"/>
    </row>
    <row r="30" spans="4:14" ht="14.25">
      <c r="D30" s="267" t="s">
        <v>999</v>
      </c>
      <c r="E30" s="61" t="s">
        <v>96</v>
      </c>
      <c r="L30" s="268">
        <v>1979</v>
      </c>
      <c r="M30" s="268"/>
      <c r="N30" s="268"/>
    </row>
    <row r="31" spans="4:14" ht="14.25">
      <c r="D31" s="267" t="s">
        <v>999</v>
      </c>
      <c r="E31" s="61" t="s">
        <v>1007</v>
      </c>
      <c r="L31" s="268">
        <v>2074</v>
      </c>
      <c r="M31" s="268"/>
      <c r="N31" s="268"/>
    </row>
    <row r="32" spans="4:14" ht="14.25">
      <c r="D32" s="267" t="s">
        <v>999</v>
      </c>
      <c r="E32" s="61" t="s">
        <v>1002</v>
      </c>
      <c r="L32" s="268">
        <v>1596</v>
      </c>
      <c r="M32" s="268"/>
      <c r="N32" s="268"/>
    </row>
    <row r="33" spans="3:14" ht="14.25">
      <c r="C33" s="267" t="s">
        <v>997</v>
      </c>
      <c r="D33" s="61" t="s">
        <v>1008</v>
      </c>
      <c r="L33" s="268"/>
      <c r="M33" s="268"/>
      <c r="N33" s="268"/>
    </row>
    <row r="34" spans="4:14" ht="14.25">
      <c r="D34" s="267" t="s">
        <v>999</v>
      </c>
      <c r="E34" s="61" t="s">
        <v>1009</v>
      </c>
      <c r="L34" s="268">
        <v>-20335</v>
      </c>
      <c r="M34" s="268"/>
      <c r="N34" s="268"/>
    </row>
    <row r="35" spans="4:14" ht="14.25">
      <c r="D35" s="267" t="s">
        <v>999</v>
      </c>
      <c r="E35" s="61" t="s">
        <v>1010</v>
      </c>
      <c r="L35" s="268">
        <v>-3633</v>
      </c>
      <c r="M35" s="268"/>
      <c r="N35" s="268"/>
    </row>
    <row r="36" spans="3:14" ht="14.25">
      <c r="C36" s="267" t="s">
        <v>997</v>
      </c>
      <c r="D36" s="61" t="s">
        <v>1349</v>
      </c>
      <c r="L36" s="268"/>
      <c r="M36" s="268"/>
      <c r="N36" s="268"/>
    </row>
    <row r="37" spans="4:14" ht="14.25">
      <c r="D37" s="61" t="s">
        <v>1011</v>
      </c>
      <c r="L37" s="268">
        <v>-2951</v>
      </c>
      <c r="M37" s="268"/>
      <c r="N37" s="268"/>
    </row>
    <row r="38" spans="1:14" s="294" customFormat="1" ht="14.25">
      <c r="A38" s="283"/>
      <c r="B38" s="283"/>
      <c r="C38" s="284" t="s">
        <v>997</v>
      </c>
      <c r="D38" s="283" t="s">
        <v>1172</v>
      </c>
      <c r="E38" s="283"/>
      <c r="F38" s="283"/>
      <c r="G38" s="283"/>
      <c r="H38" s="283"/>
      <c r="I38" s="283"/>
      <c r="J38" s="283"/>
      <c r="K38" s="283"/>
      <c r="L38" s="285">
        <v>-5005</v>
      </c>
      <c r="M38" s="285"/>
      <c r="N38" s="285"/>
    </row>
    <row r="39" spans="1:14" s="294" customFormat="1" ht="14.25">
      <c r="A39" s="283"/>
      <c r="B39" s="283"/>
      <c r="C39" s="284" t="s">
        <v>997</v>
      </c>
      <c r="D39" s="283" t="s">
        <v>1175</v>
      </c>
      <c r="E39" s="283"/>
      <c r="F39" s="283"/>
      <c r="G39" s="283"/>
      <c r="H39" s="283"/>
      <c r="I39" s="283"/>
      <c r="J39" s="283"/>
      <c r="K39" s="283"/>
      <c r="L39" s="285">
        <v>1092</v>
      </c>
      <c r="M39" s="285"/>
      <c r="N39" s="285"/>
    </row>
    <row r="40" spans="12:14" ht="14.25">
      <c r="L40" s="268"/>
      <c r="M40" s="268"/>
      <c r="N40" s="268"/>
    </row>
    <row r="41" spans="2:14" s="278" customFormat="1" ht="14.25">
      <c r="B41" s="279" t="s">
        <v>1012</v>
      </c>
      <c r="C41" s="278" t="s">
        <v>102</v>
      </c>
      <c r="L41" s="280">
        <f>SUM(L42,L53)</f>
        <v>185720</v>
      </c>
      <c r="M41" s="280"/>
      <c r="N41" s="280"/>
    </row>
    <row r="42" spans="2:14" ht="14.25">
      <c r="B42" s="266"/>
      <c r="C42" s="267" t="s">
        <v>997</v>
      </c>
      <c r="D42" s="61" t="s">
        <v>1285</v>
      </c>
      <c r="L42" s="268">
        <f>SUM(L46,L51,L52)</f>
        <v>185000</v>
      </c>
      <c r="M42" s="268"/>
      <c r="N42" s="268"/>
    </row>
    <row r="43" spans="2:14" ht="14.25">
      <c r="B43" s="266"/>
      <c r="C43" s="267"/>
      <c r="D43" s="267" t="s">
        <v>999</v>
      </c>
      <c r="E43" s="61" t="s">
        <v>1291</v>
      </c>
      <c r="L43" s="268"/>
      <c r="M43" s="268"/>
      <c r="N43" s="268"/>
    </row>
    <row r="44" spans="2:14" ht="14.25">
      <c r="B44" s="266"/>
      <c r="C44" s="267"/>
      <c r="D44" s="267"/>
      <c r="E44" s="61" t="s">
        <v>1292</v>
      </c>
      <c r="L44" s="268"/>
      <c r="M44" s="268"/>
      <c r="N44" s="268"/>
    </row>
    <row r="45" spans="2:14" ht="14.25">
      <c r="B45" s="266"/>
      <c r="C45" s="267"/>
      <c r="E45" s="61" t="s">
        <v>1293</v>
      </c>
      <c r="M45" s="268"/>
      <c r="N45" s="268"/>
    </row>
    <row r="46" spans="2:14" ht="14.25">
      <c r="B46" s="266"/>
      <c r="C46" s="267"/>
      <c r="E46" s="61" t="s">
        <v>1294</v>
      </c>
      <c r="L46" s="268">
        <v>28300</v>
      </c>
      <c r="M46" s="268"/>
      <c r="N46" s="268"/>
    </row>
    <row r="47" spans="3:14" ht="14.25">
      <c r="C47" s="267"/>
      <c r="D47" s="267" t="s">
        <v>999</v>
      </c>
      <c r="E47" s="61" t="s">
        <v>1289</v>
      </c>
      <c r="L47" s="268"/>
      <c r="M47" s="268"/>
      <c r="N47" s="268"/>
    </row>
    <row r="48" spans="3:14" ht="14.25">
      <c r="C48" s="267"/>
      <c r="E48" s="61" t="s">
        <v>1286</v>
      </c>
      <c r="L48" s="268"/>
      <c r="M48" s="268"/>
      <c r="N48" s="268"/>
    </row>
    <row r="49" spans="3:14" ht="14.25">
      <c r="C49" s="267"/>
      <c r="E49" s="61" t="s">
        <v>1287</v>
      </c>
      <c r="M49" s="268"/>
      <c r="N49" s="268"/>
    </row>
    <row r="50" spans="3:14" ht="14.25">
      <c r="C50" s="267"/>
      <c r="E50" s="61" t="s">
        <v>1288</v>
      </c>
      <c r="L50" s="268"/>
      <c r="M50" s="268"/>
      <c r="N50" s="268"/>
    </row>
    <row r="51" spans="3:14" ht="14.25">
      <c r="C51" s="267"/>
      <c r="E51" s="61" t="s">
        <v>1290</v>
      </c>
      <c r="L51" s="268">
        <v>16729</v>
      </c>
      <c r="M51" s="268"/>
      <c r="N51" s="268"/>
    </row>
    <row r="52" spans="3:14" ht="14.25">
      <c r="C52" s="267"/>
      <c r="D52" s="267" t="s">
        <v>999</v>
      </c>
      <c r="E52" s="61" t="s">
        <v>1295</v>
      </c>
      <c r="L52" s="268">
        <v>139971</v>
      </c>
      <c r="M52" s="268"/>
      <c r="N52" s="268"/>
    </row>
    <row r="53" spans="1:14" s="294" customFormat="1" ht="14.25">
      <c r="A53" s="283"/>
      <c r="B53" s="283"/>
      <c r="C53" s="284" t="s">
        <v>997</v>
      </c>
      <c r="D53" s="283" t="s">
        <v>1179</v>
      </c>
      <c r="E53" s="283"/>
      <c r="F53" s="283"/>
      <c r="G53" s="283"/>
      <c r="H53" s="283"/>
      <c r="I53" s="283"/>
      <c r="J53" s="283"/>
      <c r="K53" s="283"/>
      <c r="L53" s="285">
        <v>720</v>
      </c>
      <c r="M53" s="285"/>
      <c r="N53" s="285"/>
    </row>
    <row r="54" spans="1:14" ht="14.25">
      <c r="A54" s="283"/>
      <c r="B54" s="283"/>
      <c r="C54" s="283"/>
      <c r="D54" s="283"/>
      <c r="E54" s="283"/>
      <c r="F54" s="283"/>
      <c r="G54" s="283"/>
      <c r="H54" s="283"/>
      <c r="I54" s="283"/>
      <c r="J54" s="283"/>
      <c r="K54" s="283"/>
      <c r="L54" s="285"/>
      <c r="M54" s="285"/>
      <c r="N54" s="285"/>
    </row>
    <row r="55" spans="1:14" s="295" customFormat="1" ht="14.25">
      <c r="A55" s="302"/>
      <c r="B55" s="303" t="s">
        <v>1171</v>
      </c>
      <c r="C55" s="302" t="s">
        <v>1180</v>
      </c>
      <c r="D55" s="302"/>
      <c r="E55" s="302"/>
      <c r="F55" s="302"/>
      <c r="G55" s="302"/>
      <c r="H55" s="302"/>
      <c r="I55" s="302"/>
      <c r="J55" s="302"/>
      <c r="K55" s="302"/>
      <c r="L55" s="304">
        <f>SUM(L56:L58)</f>
        <v>627</v>
      </c>
      <c r="M55" s="304"/>
      <c r="N55" s="304"/>
    </row>
    <row r="56" spans="1:14" s="294" customFormat="1" ht="14.25">
      <c r="A56" s="283"/>
      <c r="B56" s="283"/>
      <c r="C56" s="284" t="s">
        <v>997</v>
      </c>
      <c r="D56" s="283" t="s">
        <v>1029</v>
      </c>
      <c r="E56" s="283"/>
      <c r="F56" s="283"/>
      <c r="G56" s="283"/>
      <c r="H56" s="283"/>
      <c r="I56" s="283"/>
      <c r="J56" s="283"/>
      <c r="K56" s="283"/>
      <c r="L56" s="285">
        <v>453</v>
      </c>
      <c r="M56" s="285"/>
      <c r="N56" s="283"/>
    </row>
    <row r="57" spans="1:14" s="294" customFormat="1" ht="14.25">
      <c r="A57" s="283"/>
      <c r="B57" s="283"/>
      <c r="C57" s="284" t="s">
        <v>997</v>
      </c>
      <c r="D57" s="283" t="s">
        <v>1181</v>
      </c>
      <c r="E57" s="283"/>
      <c r="F57" s="283"/>
      <c r="G57" s="283"/>
      <c r="H57" s="283"/>
      <c r="I57" s="283"/>
      <c r="J57" s="283"/>
      <c r="K57" s="283"/>
      <c r="L57" s="285">
        <v>156</v>
      </c>
      <c r="M57" s="285"/>
      <c r="N57" s="283"/>
    </row>
    <row r="58" spans="1:14" s="294" customFormat="1" ht="14.25">
      <c r="A58" s="283"/>
      <c r="B58" s="283"/>
      <c r="C58" s="284" t="s">
        <v>997</v>
      </c>
      <c r="D58" s="283" t="s">
        <v>1182</v>
      </c>
      <c r="E58" s="283"/>
      <c r="F58" s="283"/>
      <c r="G58" s="283"/>
      <c r="H58" s="283"/>
      <c r="I58" s="283"/>
      <c r="J58" s="283"/>
      <c r="K58" s="283"/>
      <c r="L58" s="285">
        <v>18</v>
      </c>
      <c r="M58" s="285"/>
      <c r="N58" s="283"/>
    </row>
    <row r="59" spans="12:14" ht="14.25">
      <c r="L59" s="268"/>
      <c r="M59" s="268"/>
      <c r="N59" s="268"/>
    </row>
    <row r="60" spans="1:14" s="62" customFormat="1" ht="14.25">
      <c r="A60" s="62" t="s">
        <v>21</v>
      </c>
      <c r="B60" s="62" t="s">
        <v>1258</v>
      </c>
      <c r="L60" s="277"/>
      <c r="M60" s="277"/>
      <c r="N60" s="277"/>
    </row>
    <row r="61" spans="2:14" s="62" customFormat="1" ht="14.25">
      <c r="B61" s="62" t="s">
        <v>1259</v>
      </c>
      <c r="L61" s="277">
        <f>SUM(L63,L70,L72)</f>
        <v>8780</v>
      </c>
      <c r="M61" s="277"/>
      <c r="N61" s="277"/>
    </row>
    <row r="62" spans="12:14" ht="14.25">
      <c r="L62" s="268"/>
      <c r="M62" s="268"/>
      <c r="N62" s="268"/>
    </row>
    <row r="63" spans="2:14" s="278" customFormat="1" ht="14.25">
      <c r="B63" s="281" t="s">
        <v>1013</v>
      </c>
      <c r="C63" s="278" t="s">
        <v>100</v>
      </c>
      <c r="L63" s="280">
        <f>SUM(L64:L68)</f>
        <v>6000</v>
      </c>
      <c r="M63" s="280"/>
      <c r="N63" s="280"/>
    </row>
    <row r="64" spans="1:14" ht="14.25">
      <c r="A64" s="283"/>
      <c r="B64" s="283"/>
      <c r="C64" s="284" t="s">
        <v>997</v>
      </c>
      <c r="D64" s="283" t="s">
        <v>1014</v>
      </c>
      <c r="E64" s="283"/>
      <c r="F64" s="283"/>
      <c r="G64" s="283"/>
      <c r="H64" s="283"/>
      <c r="I64" s="283"/>
      <c r="J64" s="283"/>
      <c r="K64" s="283"/>
      <c r="L64" s="285">
        <v>6000</v>
      </c>
      <c r="M64" s="285"/>
      <c r="N64" s="285"/>
    </row>
    <row r="65" spans="1:14" s="294" customFormat="1" ht="14.25">
      <c r="A65" s="283"/>
      <c r="B65" s="283"/>
      <c r="C65" s="284" t="s">
        <v>997</v>
      </c>
      <c r="D65" s="283" t="s">
        <v>1260</v>
      </c>
      <c r="E65" s="283"/>
      <c r="F65" s="283"/>
      <c r="G65" s="283"/>
      <c r="H65" s="283"/>
      <c r="I65" s="283"/>
      <c r="J65" s="283"/>
      <c r="K65" s="283"/>
      <c r="L65" s="285">
        <v>787</v>
      </c>
      <c r="M65" s="285"/>
      <c r="N65" s="285"/>
    </row>
    <row r="66" spans="1:14" s="294" customFormat="1" ht="14.25">
      <c r="A66" s="283"/>
      <c r="B66" s="283"/>
      <c r="C66" s="284"/>
      <c r="D66" s="283" t="s">
        <v>1261</v>
      </c>
      <c r="E66" s="283"/>
      <c r="F66" s="283"/>
      <c r="G66" s="283"/>
      <c r="H66" s="283"/>
      <c r="I66" s="283"/>
      <c r="J66" s="283"/>
      <c r="K66" s="283"/>
      <c r="L66" s="285"/>
      <c r="M66" s="285"/>
      <c r="N66" s="285"/>
    </row>
    <row r="67" spans="1:14" s="294" customFormat="1" ht="14.25">
      <c r="A67" s="283"/>
      <c r="B67" s="283"/>
      <c r="C67" s="284" t="s">
        <v>997</v>
      </c>
      <c r="D67" s="283" t="s">
        <v>1362</v>
      </c>
      <c r="E67" s="283"/>
      <c r="F67" s="283"/>
      <c r="G67" s="283"/>
      <c r="H67" s="283"/>
      <c r="I67" s="283"/>
      <c r="J67" s="283"/>
      <c r="K67" s="283"/>
      <c r="L67" s="285">
        <v>213</v>
      </c>
      <c r="M67" s="285"/>
      <c r="N67" s="285"/>
    </row>
    <row r="68" spans="1:14" s="294" customFormat="1" ht="14.25">
      <c r="A68" s="283"/>
      <c r="B68" s="283"/>
      <c r="C68" s="284" t="s">
        <v>997</v>
      </c>
      <c r="D68" s="283" t="s">
        <v>1357</v>
      </c>
      <c r="E68" s="283"/>
      <c r="F68" s="283"/>
      <c r="G68" s="283"/>
      <c r="H68" s="283"/>
      <c r="I68" s="283"/>
      <c r="J68" s="283"/>
      <c r="K68" s="283"/>
      <c r="L68" s="285">
        <v>-1000</v>
      </c>
      <c r="M68" s="285"/>
      <c r="N68" s="285"/>
    </row>
    <row r="69" spans="1:14" ht="14.25">
      <c r="A69" s="283"/>
      <c r="B69" s="283"/>
      <c r="C69" s="284"/>
      <c r="D69" s="283"/>
      <c r="E69" s="283"/>
      <c r="F69" s="283"/>
      <c r="G69" s="283"/>
      <c r="H69" s="283"/>
      <c r="I69" s="283"/>
      <c r="J69" s="283"/>
      <c r="K69" s="283"/>
      <c r="L69" s="285"/>
      <c r="M69" s="285"/>
      <c r="N69" s="285"/>
    </row>
    <row r="70" spans="1:14" s="295" customFormat="1" ht="14.25">
      <c r="A70" s="302"/>
      <c r="B70" s="303" t="s">
        <v>1168</v>
      </c>
      <c r="C70" s="303" t="s">
        <v>1169</v>
      </c>
      <c r="D70" s="302"/>
      <c r="E70" s="302"/>
      <c r="F70" s="302"/>
      <c r="G70" s="302"/>
      <c r="H70" s="302"/>
      <c r="I70" s="302"/>
      <c r="J70" s="302"/>
      <c r="K70" s="302"/>
      <c r="L70" s="304">
        <v>5917</v>
      </c>
      <c r="M70" s="304"/>
      <c r="N70" s="304"/>
    </row>
    <row r="71" spans="1:14" ht="14.25">
      <c r="A71" s="283"/>
      <c r="B71" s="284"/>
      <c r="C71" s="284"/>
      <c r="D71" s="283"/>
      <c r="E71" s="283"/>
      <c r="F71" s="283"/>
      <c r="G71" s="283"/>
      <c r="H71" s="283"/>
      <c r="I71" s="283"/>
      <c r="J71" s="283"/>
      <c r="K71" s="283"/>
      <c r="L71" s="285"/>
      <c r="M71" s="285"/>
      <c r="N71" s="285"/>
    </row>
    <row r="72" spans="1:14" s="295" customFormat="1" ht="14.25">
      <c r="A72" s="302"/>
      <c r="B72" s="303" t="s">
        <v>1170</v>
      </c>
      <c r="C72" s="302" t="s">
        <v>1065</v>
      </c>
      <c r="D72" s="302"/>
      <c r="E72" s="302"/>
      <c r="F72" s="302"/>
      <c r="G72" s="302"/>
      <c r="H72" s="302"/>
      <c r="I72" s="302"/>
      <c r="J72" s="302"/>
      <c r="K72" s="302"/>
      <c r="L72" s="304">
        <f>SUM(L73:L76)</f>
        <v>-3137</v>
      </c>
      <c r="M72" s="304"/>
      <c r="N72" s="304"/>
    </row>
    <row r="73" spans="1:14" s="294" customFormat="1" ht="14.25">
      <c r="A73" s="283"/>
      <c r="B73" s="284"/>
      <c r="C73" s="284" t="s">
        <v>997</v>
      </c>
      <c r="D73" s="283" t="s">
        <v>1173</v>
      </c>
      <c r="E73" s="283"/>
      <c r="F73" s="283"/>
      <c r="G73" s="283"/>
      <c r="H73" s="283"/>
      <c r="I73" s="283"/>
      <c r="J73" s="283"/>
      <c r="K73" s="283"/>
      <c r="L73" s="285">
        <v>-911</v>
      </c>
      <c r="M73" s="285"/>
      <c r="N73" s="285"/>
    </row>
    <row r="74" spans="1:14" s="294" customFormat="1" ht="14.25">
      <c r="A74" s="283"/>
      <c r="B74" s="284"/>
      <c r="C74" s="284" t="s">
        <v>997</v>
      </c>
      <c r="D74" s="283" t="s">
        <v>1174</v>
      </c>
      <c r="E74" s="283"/>
      <c r="F74" s="283"/>
      <c r="G74" s="283"/>
      <c r="H74" s="283"/>
      <c r="I74" s="283"/>
      <c r="J74" s="283"/>
      <c r="K74" s="283"/>
      <c r="L74" s="285">
        <v>-1092</v>
      </c>
      <c r="M74" s="285"/>
      <c r="N74" s="285"/>
    </row>
    <row r="75" spans="1:14" s="294" customFormat="1" ht="14.25">
      <c r="A75" s="283"/>
      <c r="B75" s="284"/>
      <c r="C75" s="284" t="s">
        <v>997</v>
      </c>
      <c r="D75" s="283" t="s">
        <v>1358</v>
      </c>
      <c r="E75" s="283"/>
      <c r="F75" s="283"/>
      <c r="G75" s="283"/>
      <c r="H75" s="283"/>
      <c r="I75" s="283"/>
      <c r="J75" s="283"/>
      <c r="K75" s="283"/>
      <c r="L75" s="285"/>
      <c r="M75" s="285"/>
      <c r="N75" s="285"/>
    </row>
    <row r="76" spans="1:14" s="294" customFormat="1" ht="14.25">
      <c r="A76" s="283"/>
      <c r="B76" s="284"/>
      <c r="C76" s="284"/>
      <c r="D76" s="283" t="s">
        <v>1359</v>
      </c>
      <c r="E76" s="283"/>
      <c r="F76" s="283"/>
      <c r="G76" s="283"/>
      <c r="H76" s="283"/>
      <c r="I76" s="283"/>
      <c r="J76" s="283"/>
      <c r="K76" s="283"/>
      <c r="L76" s="285">
        <v>-1134</v>
      </c>
      <c r="M76" s="285"/>
      <c r="N76" s="285"/>
    </row>
    <row r="77" spans="1:14" ht="14.25">
      <c r="A77" s="283"/>
      <c r="B77" s="284"/>
      <c r="C77" s="284"/>
      <c r="D77" s="283"/>
      <c r="E77" s="283"/>
      <c r="F77" s="283"/>
      <c r="G77" s="283"/>
      <c r="H77" s="283"/>
      <c r="I77" s="283"/>
      <c r="J77" s="283"/>
      <c r="K77" s="283"/>
      <c r="L77" s="285"/>
      <c r="M77" s="285"/>
      <c r="N77" s="285"/>
    </row>
    <row r="78" spans="1:14" s="62" customFormat="1" ht="14.25">
      <c r="A78" s="62" t="s">
        <v>22</v>
      </c>
      <c r="B78" s="62" t="s">
        <v>1140</v>
      </c>
      <c r="L78" s="277">
        <f>SUM(L80)</f>
        <v>500</v>
      </c>
      <c r="M78" s="277"/>
      <c r="N78" s="277"/>
    </row>
    <row r="79" spans="12:14" ht="14.25">
      <c r="L79" s="268"/>
      <c r="M79" s="268"/>
      <c r="N79" s="268"/>
    </row>
    <row r="80" spans="2:14" s="278" customFormat="1" ht="14.25">
      <c r="B80" s="281" t="s">
        <v>1015</v>
      </c>
      <c r="C80" s="278" t="s">
        <v>1065</v>
      </c>
      <c r="L80" s="280">
        <f>SUM(L81)</f>
        <v>500</v>
      </c>
      <c r="M80" s="280"/>
      <c r="N80" s="280"/>
    </row>
    <row r="81" spans="3:14" ht="14.25">
      <c r="C81" s="267" t="s">
        <v>997</v>
      </c>
      <c r="D81" s="61" t="s">
        <v>1310</v>
      </c>
      <c r="L81" s="268">
        <v>500</v>
      </c>
      <c r="M81" s="268"/>
      <c r="N81" s="268"/>
    </row>
    <row r="82" spans="12:14" ht="14.25">
      <c r="L82" s="268"/>
      <c r="M82" s="268"/>
      <c r="N82" s="268"/>
    </row>
    <row r="83" spans="1:14" s="62" customFormat="1" ht="14.25">
      <c r="A83" s="62" t="s">
        <v>23</v>
      </c>
      <c r="B83" s="62" t="s">
        <v>1183</v>
      </c>
      <c r="L83" s="277">
        <f>SUM(L85,L88)</f>
        <v>-974</v>
      </c>
      <c r="M83" s="277"/>
      <c r="N83" s="277"/>
    </row>
    <row r="84" spans="12:14" s="62" customFormat="1" ht="14.25">
      <c r="L84" s="277"/>
      <c r="M84" s="277"/>
      <c r="N84" s="277"/>
    </row>
    <row r="85" spans="2:14" s="302" customFormat="1" ht="14.25">
      <c r="B85" s="303" t="s">
        <v>1016</v>
      </c>
      <c r="C85" s="302" t="s">
        <v>1065</v>
      </c>
      <c r="L85" s="304">
        <f>SUM(L86)</f>
        <v>1282</v>
      </c>
      <c r="M85" s="304"/>
      <c r="N85" s="304"/>
    </row>
    <row r="86" spans="3:14" s="283" customFormat="1" ht="14.25">
      <c r="C86" s="284" t="s">
        <v>997</v>
      </c>
      <c r="D86" s="283" t="s">
        <v>1184</v>
      </c>
      <c r="L86" s="285">
        <v>1282</v>
      </c>
      <c r="M86" s="285"/>
      <c r="N86" s="285"/>
    </row>
    <row r="87" spans="12:14" s="283" customFormat="1" ht="14.25">
      <c r="L87" s="285"/>
      <c r="M87" s="285"/>
      <c r="N87" s="285"/>
    </row>
    <row r="88" spans="2:14" s="302" customFormat="1" ht="14.25">
      <c r="B88" s="303" t="s">
        <v>1017</v>
      </c>
      <c r="C88" s="302" t="s">
        <v>1085</v>
      </c>
      <c r="L88" s="304">
        <f>SUM(L89)</f>
        <v>-2256</v>
      </c>
      <c r="M88" s="304"/>
      <c r="N88" s="304"/>
    </row>
    <row r="89" spans="3:14" s="283" customFormat="1" ht="14.25">
      <c r="C89" s="284" t="s">
        <v>997</v>
      </c>
      <c r="D89" s="283" t="s">
        <v>1185</v>
      </c>
      <c r="L89" s="285">
        <v>-2256</v>
      </c>
      <c r="M89" s="285"/>
      <c r="N89" s="285"/>
    </row>
    <row r="90" spans="3:14" ht="14.25">
      <c r="C90" s="267"/>
      <c r="L90" s="268"/>
      <c r="M90" s="268"/>
      <c r="N90" s="268"/>
    </row>
    <row r="91" spans="1:14" s="62" customFormat="1" ht="14.25">
      <c r="A91" s="62" t="s">
        <v>24</v>
      </c>
      <c r="B91" s="62" t="s">
        <v>1163</v>
      </c>
      <c r="L91" s="277">
        <f>SUM(L93,L97)</f>
        <v>21728</v>
      </c>
      <c r="M91" s="277"/>
      <c r="N91" s="277"/>
    </row>
    <row r="92" spans="12:14" ht="14.25">
      <c r="L92" s="268"/>
      <c r="M92" s="268"/>
      <c r="N92" s="268"/>
    </row>
    <row r="93" spans="2:14" s="302" customFormat="1" ht="14.25">
      <c r="B93" s="303" t="s">
        <v>1021</v>
      </c>
      <c r="C93" s="302" t="s">
        <v>1065</v>
      </c>
      <c r="L93" s="304">
        <f>SUM(L94:L95)</f>
        <v>20312</v>
      </c>
      <c r="M93" s="304"/>
      <c r="N93" s="304"/>
    </row>
    <row r="94" spans="3:14" s="283" customFormat="1" ht="14.25">
      <c r="C94" s="284" t="s">
        <v>997</v>
      </c>
      <c r="D94" s="283" t="s">
        <v>1161</v>
      </c>
      <c r="L94" s="285">
        <v>4486</v>
      </c>
      <c r="M94" s="285"/>
      <c r="N94" s="285"/>
    </row>
    <row r="95" spans="3:14" s="283" customFormat="1" ht="14.25">
      <c r="C95" s="284" t="s">
        <v>997</v>
      </c>
      <c r="D95" s="283" t="s">
        <v>1162</v>
      </c>
      <c r="L95" s="285">
        <v>15826</v>
      </c>
      <c r="M95" s="285"/>
      <c r="N95" s="285"/>
    </row>
    <row r="96" spans="12:14" s="283" customFormat="1" ht="14.25">
      <c r="L96" s="285"/>
      <c r="M96" s="285"/>
      <c r="N96" s="285"/>
    </row>
    <row r="97" spans="2:14" s="302" customFormat="1" ht="14.25">
      <c r="B97" s="303" t="s">
        <v>1178</v>
      </c>
      <c r="C97" s="302" t="s">
        <v>1085</v>
      </c>
      <c r="L97" s="304">
        <f>SUM(L98:L99)</f>
        <v>1416</v>
      </c>
      <c r="M97" s="304"/>
      <c r="N97" s="304"/>
    </row>
    <row r="98" spans="2:14" s="302" customFormat="1" ht="14.25">
      <c r="B98" s="303"/>
      <c r="C98" s="284" t="s">
        <v>997</v>
      </c>
      <c r="D98" s="283" t="s">
        <v>1161</v>
      </c>
      <c r="L98" s="304">
        <v>449</v>
      </c>
      <c r="M98" s="304"/>
      <c r="N98" s="304"/>
    </row>
    <row r="99" spans="3:14" s="283" customFormat="1" ht="14.25">
      <c r="C99" s="284" t="s">
        <v>997</v>
      </c>
      <c r="D99" s="283" t="s">
        <v>1162</v>
      </c>
      <c r="L99" s="285">
        <v>967</v>
      </c>
      <c r="M99" s="285"/>
      <c r="N99" s="285"/>
    </row>
    <row r="100" spans="12:14" ht="14.25">
      <c r="L100" s="268"/>
      <c r="M100" s="268"/>
      <c r="N100" s="268"/>
    </row>
    <row r="101" spans="1:14" s="62" customFormat="1" ht="14.25">
      <c r="A101" s="62" t="s">
        <v>25</v>
      </c>
      <c r="B101" s="62" t="s">
        <v>910</v>
      </c>
      <c r="L101" s="277">
        <f>SUM(L103,L106)</f>
        <v>500</v>
      </c>
      <c r="M101" s="277"/>
      <c r="N101" s="277"/>
    </row>
    <row r="102" spans="12:14" s="62" customFormat="1" ht="14.25">
      <c r="L102" s="277"/>
      <c r="M102" s="277"/>
      <c r="N102" s="277"/>
    </row>
    <row r="103" spans="2:14" s="302" customFormat="1" ht="14.25">
      <c r="B103" s="303" t="s">
        <v>1031</v>
      </c>
      <c r="C103" s="302" t="s">
        <v>680</v>
      </c>
      <c r="L103" s="304">
        <f>SUM(L104)</f>
        <v>394</v>
      </c>
      <c r="M103" s="304"/>
      <c r="N103" s="304"/>
    </row>
    <row r="104" spans="3:14" s="283" customFormat="1" ht="14.25">
      <c r="C104" s="284" t="s">
        <v>997</v>
      </c>
      <c r="D104" s="283" t="s">
        <v>1186</v>
      </c>
      <c r="L104" s="285">
        <v>394</v>
      </c>
      <c r="M104" s="285"/>
      <c r="N104" s="285"/>
    </row>
    <row r="105" spans="2:14" s="283" customFormat="1" ht="14.25">
      <c r="B105" s="284"/>
      <c r="C105" s="284"/>
      <c r="L105" s="285"/>
      <c r="M105" s="285"/>
      <c r="N105" s="285"/>
    </row>
    <row r="106" spans="2:14" s="302" customFormat="1" ht="14.25">
      <c r="B106" s="303" t="s">
        <v>1033</v>
      </c>
      <c r="C106" s="303" t="s">
        <v>1362</v>
      </c>
      <c r="L106" s="304">
        <f>SUM(L107)</f>
        <v>106</v>
      </c>
      <c r="M106" s="304"/>
      <c r="N106" s="304"/>
    </row>
    <row r="107" spans="3:14" s="283" customFormat="1" ht="14.25">
      <c r="C107" s="284" t="s">
        <v>997</v>
      </c>
      <c r="D107" s="283" t="s">
        <v>1362</v>
      </c>
      <c r="L107" s="285">
        <v>106</v>
      </c>
      <c r="M107" s="285"/>
      <c r="N107" s="285"/>
    </row>
    <row r="108" spans="12:14" ht="14.25">
      <c r="L108" s="268"/>
      <c r="M108" s="268"/>
      <c r="N108" s="268"/>
    </row>
    <row r="109" spans="1:14" s="62" customFormat="1" ht="14.25">
      <c r="A109" s="62" t="s">
        <v>26</v>
      </c>
      <c r="B109" s="62" t="s">
        <v>1373</v>
      </c>
      <c r="L109" s="277">
        <f>SUM(L111,L114)</f>
        <v>19166</v>
      </c>
      <c r="M109" s="277"/>
      <c r="N109" s="277"/>
    </row>
    <row r="110" spans="12:14" ht="14.25">
      <c r="L110" s="268"/>
      <c r="M110" s="268"/>
      <c r="N110" s="268"/>
    </row>
    <row r="111" spans="2:14" s="302" customFormat="1" ht="14.25">
      <c r="B111" s="303" t="s">
        <v>1040</v>
      </c>
      <c r="C111" s="302" t="s">
        <v>683</v>
      </c>
      <c r="L111" s="304">
        <f>SUM(L112)</f>
        <v>15091</v>
      </c>
      <c r="M111" s="304"/>
      <c r="N111" s="304"/>
    </row>
    <row r="112" spans="2:14" s="283" customFormat="1" ht="14.25">
      <c r="B112" s="284"/>
      <c r="C112" s="284" t="s">
        <v>997</v>
      </c>
      <c r="D112" s="283" t="s">
        <v>1363</v>
      </c>
      <c r="L112" s="285">
        <v>15091</v>
      </c>
      <c r="M112" s="285"/>
      <c r="N112" s="285"/>
    </row>
    <row r="113" spans="2:14" s="283" customFormat="1" ht="14.25">
      <c r="B113" s="284"/>
      <c r="C113" s="284"/>
      <c r="L113" s="285"/>
      <c r="M113" s="285"/>
      <c r="N113" s="285"/>
    </row>
    <row r="114" spans="2:14" s="302" customFormat="1" ht="14.25">
      <c r="B114" s="303" t="s">
        <v>1364</v>
      </c>
      <c r="C114" s="303" t="s">
        <v>1362</v>
      </c>
      <c r="L114" s="304">
        <f>SUM(L115)</f>
        <v>4075</v>
      </c>
      <c r="M114" s="304"/>
      <c r="N114" s="304"/>
    </row>
    <row r="115" spans="3:14" s="283" customFormat="1" ht="14.25">
      <c r="C115" s="284" t="s">
        <v>997</v>
      </c>
      <c r="D115" s="283" t="s">
        <v>1362</v>
      </c>
      <c r="L115" s="285">
        <v>4075</v>
      </c>
      <c r="M115" s="285"/>
      <c r="N115" s="285"/>
    </row>
    <row r="116" spans="12:14" ht="14.25">
      <c r="L116" s="268"/>
      <c r="M116" s="268"/>
      <c r="N116" s="268"/>
    </row>
    <row r="117" spans="1:14" s="62" customFormat="1" ht="14.25">
      <c r="A117" s="62" t="s">
        <v>27</v>
      </c>
      <c r="B117" s="62" t="s">
        <v>1176</v>
      </c>
      <c r="L117" s="277">
        <f>SUM(L119,L122)</f>
        <v>200</v>
      </c>
      <c r="M117" s="277"/>
      <c r="N117" s="277"/>
    </row>
    <row r="118" spans="12:14" ht="14.25">
      <c r="L118" s="268"/>
      <c r="M118" s="268"/>
      <c r="N118" s="268"/>
    </row>
    <row r="119" spans="2:14" s="302" customFormat="1" ht="14.25">
      <c r="B119" s="303" t="s">
        <v>1041</v>
      </c>
      <c r="C119" s="302" t="s">
        <v>681</v>
      </c>
      <c r="L119" s="304">
        <f>SUM(L120)</f>
        <v>-100</v>
      </c>
      <c r="M119" s="304"/>
      <c r="N119" s="304"/>
    </row>
    <row r="120" spans="3:14" s="283" customFormat="1" ht="14.25">
      <c r="C120" s="284" t="s">
        <v>997</v>
      </c>
      <c r="D120" s="283" t="s">
        <v>1177</v>
      </c>
      <c r="L120" s="285">
        <v>-100</v>
      </c>
      <c r="M120" s="285"/>
      <c r="N120" s="285"/>
    </row>
    <row r="121" spans="12:14" s="283" customFormat="1" ht="14.25">
      <c r="L121" s="285"/>
      <c r="M121" s="285"/>
      <c r="N121" s="285"/>
    </row>
    <row r="122" spans="2:14" s="302" customFormat="1" ht="14.25">
      <c r="B122" s="303" t="s">
        <v>1296</v>
      </c>
      <c r="C122" s="302" t="s">
        <v>688</v>
      </c>
      <c r="L122" s="304">
        <f>SUM(L123)</f>
        <v>300</v>
      </c>
      <c r="M122" s="304"/>
      <c r="N122" s="304"/>
    </row>
    <row r="123" spans="3:14" s="283" customFormat="1" ht="14.25">
      <c r="C123" s="284" t="s">
        <v>997</v>
      </c>
      <c r="D123" s="283" t="s">
        <v>1177</v>
      </c>
      <c r="L123" s="285">
        <v>300</v>
      </c>
      <c r="M123" s="285"/>
      <c r="N123" s="285"/>
    </row>
    <row r="124" spans="12:14" ht="14.25">
      <c r="L124" s="268"/>
      <c r="M124" s="268"/>
      <c r="N124" s="268"/>
    </row>
    <row r="125" spans="1:14" ht="15.75">
      <c r="A125" s="157" t="s">
        <v>993</v>
      </c>
      <c r="L125" s="268"/>
      <c r="M125" s="268"/>
      <c r="N125" s="268"/>
    </row>
    <row r="126" spans="12:14" ht="14.25">
      <c r="L126" s="268"/>
      <c r="M126" s="268"/>
      <c r="N126" s="268"/>
    </row>
    <row r="127" spans="1:14" s="62" customFormat="1" ht="14.25">
      <c r="A127" s="62" t="s">
        <v>28</v>
      </c>
      <c r="B127" s="62" t="s">
        <v>1258</v>
      </c>
      <c r="L127" s="277"/>
      <c r="M127" s="277"/>
      <c r="N127" s="277"/>
    </row>
    <row r="128" spans="2:14" s="62" customFormat="1" ht="14.25">
      <c r="B128" s="62" t="s">
        <v>1259</v>
      </c>
      <c r="L128" s="277"/>
      <c r="M128" s="277"/>
      <c r="N128" s="277">
        <f>SUM(N130,N143,N136,N140)</f>
        <v>6688</v>
      </c>
    </row>
    <row r="129" spans="12:14" ht="14.25">
      <c r="L129" s="268"/>
      <c r="M129" s="268"/>
      <c r="N129" s="268"/>
    </row>
    <row r="130" spans="2:14" s="278" customFormat="1" ht="14.25">
      <c r="B130" s="281" t="s">
        <v>1042</v>
      </c>
      <c r="C130" s="278" t="s">
        <v>576</v>
      </c>
      <c r="L130" s="280"/>
      <c r="M130" s="280"/>
      <c r="N130" s="280">
        <f>SUM(N132:N134)</f>
        <v>3228</v>
      </c>
    </row>
    <row r="131" spans="2:14" ht="14.25">
      <c r="B131" s="267"/>
      <c r="C131" s="267" t="s">
        <v>997</v>
      </c>
      <c r="D131" s="61" t="s">
        <v>1297</v>
      </c>
      <c r="L131" s="268"/>
      <c r="M131" s="268"/>
      <c r="N131" s="268"/>
    </row>
    <row r="132" spans="2:14" ht="14.25">
      <c r="B132" s="267"/>
      <c r="C132" s="267"/>
      <c r="D132" s="61" t="s">
        <v>1298</v>
      </c>
      <c r="L132" s="268"/>
      <c r="M132" s="268"/>
      <c r="N132" s="268">
        <v>2700</v>
      </c>
    </row>
    <row r="133" spans="2:14" ht="14.25">
      <c r="B133" s="267"/>
      <c r="C133" s="267"/>
      <c r="D133" s="61" t="s">
        <v>1156</v>
      </c>
      <c r="L133" s="268"/>
      <c r="M133" s="268"/>
      <c r="N133" s="268"/>
    </row>
    <row r="134" spans="2:14" s="283" customFormat="1" ht="14.25">
      <c r="B134" s="284"/>
      <c r="C134" s="284" t="s">
        <v>997</v>
      </c>
      <c r="D134" s="283" t="s">
        <v>1190</v>
      </c>
      <c r="L134" s="285"/>
      <c r="M134" s="285"/>
      <c r="N134" s="285">
        <v>528</v>
      </c>
    </row>
    <row r="135" spans="2:14" s="283" customFormat="1" ht="14.25">
      <c r="B135" s="284"/>
      <c r="C135" s="284"/>
      <c r="L135" s="285"/>
      <c r="M135" s="285"/>
      <c r="N135" s="285"/>
    </row>
    <row r="136" spans="2:14" s="302" customFormat="1" ht="14.25">
      <c r="B136" s="303" t="s">
        <v>1299</v>
      </c>
      <c r="C136" s="303" t="s">
        <v>115</v>
      </c>
      <c r="L136" s="304"/>
      <c r="M136" s="304"/>
      <c r="N136" s="304">
        <f>SUM(N137:N138)</f>
        <v>2738</v>
      </c>
    </row>
    <row r="137" spans="2:14" s="283" customFormat="1" ht="14.25">
      <c r="B137" s="284"/>
      <c r="C137" s="284" t="s">
        <v>997</v>
      </c>
      <c r="D137" s="283" t="s">
        <v>1189</v>
      </c>
      <c r="L137" s="285"/>
      <c r="M137" s="285"/>
      <c r="N137" s="285">
        <v>129</v>
      </c>
    </row>
    <row r="138" spans="2:14" s="283" customFormat="1" ht="14.25">
      <c r="B138" s="284"/>
      <c r="C138" s="284" t="s">
        <v>997</v>
      </c>
      <c r="D138" s="283" t="s">
        <v>1374</v>
      </c>
      <c r="L138" s="285"/>
      <c r="M138" s="285"/>
      <c r="N138" s="285">
        <v>2609</v>
      </c>
    </row>
    <row r="139" spans="2:14" s="283" customFormat="1" ht="14.25">
      <c r="B139" s="284"/>
      <c r="C139" s="284"/>
      <c r="L139" s="285"/>
      <c r="M139" s="285"/>
      <c r="N139" s="285"/>
    </row>
    <row r="140" spans="2:14" s="302" customFormat="1" ht="14.25">
      <c r="B140" s="303" t="s">
        <v>1300</v>
      </c>
      <c r="C140" s="303" t="s">
        <v>1051</v>
      </c>
      <c r="L140" s="304"/>
      <c r="M140" s="304"/>
      <c r="N140" s="304">
        <f>SUM(N141:N142)</f>
        <v>704</v>
      </c>
    </row>
    <row r="141" spans="2:14" s="283" customFormat="1" ht="14.25">
      <c r="B141" s="284"/>
      <c r="C141" s="284" t="s">
        <v>997</v>
      </c>
      <c r="D141" s="283" t="s">
        <v>1375</v>
      </c>
      <c r="L141" s="285"/>
      <c r="M141" s="285"/>
      <c r="N141" s="285">
        <v>704</v>
      </c>
    </row>
    <row r="142" spans="2:14" s="283" customFormat="1" ht="14.25">
      <c r="B142" s="284"/>
      <c r="C142" s="284"/>
      <c r="L142" s="285"/>
      <c r="M142" s="285"/>
      <c r="N142" s="285"/>
    </row>
    <row r="143" spans="2:14" s="302" customFormat="1" ht="14.25">
      <c r="B143" s="303" t="s">
        <v>1300</v>
      </c>
      <c r="C143" s="303" t="s">
        <v>716</v>
      </c>
      <c r="L143" s="304"/>
      <c r="M143" s="304"/>
      <c r="N143" s="304">
        <f>SUM(N144)</f>
        <v>18</v>
      </c>
    </row>
    <row r="144" spans="2:14" s="283" customFormat="1" ht="14.25">
      <c r="B144" s="284"/>
      <c r="C144" s="284" t="s">
        <v>997</v>
      </c>
      <c r="D144" s="283" t="s">
        <v>1188</v>
      </c>
      <c r="L144" s="285"/>
      <c r="M144" s="285"/>
      <c r="N144" s="285">
        <v>18</v>
      </c>
    </row>
    <row r="145" spans="2:14" ht="14.25">
      <c r="B145" s="267"/>
      <c r="C145" s="267"/>
      <c r="L145" s="268"/>
      <c r="M145" s="268"/>
      <c r="N145" s="268"/>
    </row>
    <row r="146" spans="1:14" s="62" customFormat="1" ht="14.25">
      <c r="A146" s="62" t="s">
        <v>29</v>
      </c>
      <c r="B146" s="62" t="s">
        <v>1069</v>
      </c>
      <c r="C146" s="282"/>
      <c r="L146" s="277"/>
      <c r="M146" s="277"/>
      <c r="N146" s="277">
        <f>SUM(N148,N153,N160)</f>
        <v>46371</v>
      </c>
    </row>
    <row r="147" spans="3:14" ht="14.25">
      <c r="C147" s="267"/>
      <c r="L147" s="268"/>
      <c r="M147" s="268"/>
      <c r="N147" s="268"/>
    </row>
    <row r="148" spans="2:14" s="302" customFormat="1" ht="14.25">
      <c r="B148" s="303" t="s">
        <v>1043</v>
      </c>
      <c r="C148" s="303" t="s">
        <v>216</v>
      </c>
      <c r="L148" s="304"/>
      <c r="M148" s="304"/>
      <c r="N148" s="304">
        <f>SUM(N149:N151)</f>
        <v>1746</v>
      </c>
    </row>
    <row r="149" spans="3:14" s="283" customFormat="1" ht="14.25">
      <c r="C149" s="284" t="s">
        <v>997</v>
      </c>
      <c r="D149" s="283" t="s">
        <v>1191</v>
      </c>
      <c r="L149" s="285"/>
      <c r="M149" s="285"/>
      <c r="N149" s="285">
        <v>800</v>
      </c>
    </row>
    <row r="150" spans="3:14" s="283" customFormat="1" ht="14.25">
      <c r="C150" s="284" t="s">
        <v>997</v>
      </c>
      <c r="D150" s="283" t="s">
        <v>1353</v>
      </c>
      <c r="L150" s="285"/>
      <c r="M150" s="285"/>
      <c r="N150" s="285">
        <v>594</v>
      </c>
    </row>
    <row r="151" spans="3:14" s="283" customFormat="1" ht="14.25">
      <c r="C151" s="284" t="s">
        <v>997</v>
      </c>
      <c r="D151" s="283" t="s">
        <v>1355</v>
      </c>
      <c r="L151" s="285"/>
      <c r="M151" s="285"/>
      <c r="N151" s="285">
        <v>352</v>
      </c>
    </row>
    <row r="152" spans="3:14" ht="14.25">
      <c r="C152" s="267"/>
      <c r="L152" s="268"/>
      <c r="M152" s="268"/>
      <c r="N152" s="268"/>
    </row>
    <row r="153" spans="2:14" s="278" customFormat="1" ht="14.25">
      <c r="B153" s="281" t="s">
        <v>1187</v>
      </c>
      <c r="C153" s="278" t="s">
        <v>716</v>
      </c>
      <c r="L153" s="280"/>
      <c r="M153" s="280"/>
      <c r="N153" s="280">
        <f>SUM(N158)</f>
        <v>35371</v>
      </c>
    </row>
    <row r="154" spans="3:14" ht="14.25">
      <c r="C154" s="267" t="s">
        <v>997</v>
      </c>
      <c r="D154" s="61" t="s">
        <v>1289</v>
      </c>
      <c r="L154" s="268"/>
      <c r="M154" s="268"/>
      <c r="N154" s="268"/>
    </row>
    <row r="155" spans="3:14" ht="14.25">
      <c r="C155" s="267"/>
      <c r="D155" s="61" t="s">
        <v>1286</v>
      </c>
      <c r="L155" s="268"/>
      <c r="M155" s="268"/>
      <c r="N155" s="268"/>
    </row>
    <row r="156" spans="3:13" ht="14.25">
      <c r="C156" s="267"/>
      <c r="D156" s="61" t="s">
        <v>1287</v>
      </c>
      <c r="L156" s="268"/>
      <c r="M156" s="268"/>
    </row>
    <row r="157" spans="3:13" ht="14.25">
      <c r="C157" s="267"/>
      <c r="D157" s="61" t="s">
        <v>1288</v>
      </c>
      <c r="L157" s="268"/>
      <c r="M157" s="268"/>
    </row>
    <row r="158" spans="3:14" ht="14.25">
      <c r="C158" s="267"/>
      <c r="D158" s="61" t="s">
        <v>1290</v>
      </c>
      <c r="L158" s="268"/>
      <c r="M158" s="268"/>
      <c r="N158" s="268">
        <v>35371</v>
      </c>
    </row>
    <row r="159" spans="3:14" ht="14.25">
      <c r="C159" s="267"/>
      <c r="L159" s="268"/>
      <c r="M159" s="268"/>
      <c r="N159" s="268"/>
    </row>
    <row r="160" spans="2:14" s="278" customFormat="1" ht="14.25">
      <c r="B160" s="281" t="s">
        <v>1301</v>
      </c>
      <c r="C160" s="278" t="s">
        <v>130</v>
      </c>
      <c r="L160" s="280"/>
      <c r="M160" s="280"/>
      <c r="N160" s="280">
        <f>SUM(N164:N169)</f>
        <v>9254</v>
      </c>
    </row>
    <row r="161" spans="3:14" ht="14.25">
      <c r="C161" s="267" t="s">
        <v>997</v>
      </c>
      <c r="D161" s="61" t="s">
        <v>1018</v>
      </c>
      <c r="L161" s="268"/>
      <c r="M161" s="268"/>
      <c r="N161" s="268"/>
    </row>
    <row r="162" spans="4:14" ht="14.25">
      <c r="D162" s="61" t="s">
        <v>1019</v>
      </c>
      <c r="L162" s="268"/>
      <c r="M162" s="268"/>
      <c r="N162" s="268"/>
    </row>
    <row r="163" spans="4:13" ht="14.25">
      <c r="D163" s="61" t="s">
        <v>1135</v>
      </c>
      <c r="L163" s="268"/>
      <c r="M163" s="268"/>
    </row>
    <row r="164" spans="4:14" ht="14.25">
      <c r="D164" s="61" t="s">
        <v>1302</v>
      </c>
      <c r="L164" s="268"/>
      <c r="M164" s="268"/>
      <c r="N164" s="268">
        <v>3000</v>
      </c>
    </row>
    <row r="165" spans="3:14" ht="14.25">
      <c r="C165" s="267" t="s">
        <v>997</v>
      </c>
      <c r="D165" s="61" t="s">
        <v>1020</v>
      </c>
      <c r="L165" s="268"/>
      <c r="M165" s="268"/>
      <c r="N165" s="268"/>
    </row>
    <row r="166" spans="2:14" ht="14.25">
      <c r="B166" s="267"/>
      <c r="D166" s="61" t="s">
        <v>1136</v>
      </c>
      <c r="L166" s="268"/>
      <c r="M166" s="268"/>
      <c r="N166" s="268">
        <v>8000</v>
      </c>
    </row>
    <row r="167" spans="2:14" s="283" customFormat="1" ht="14.25">
      <c r="B167" s="284"/>
      <c r="C167" s="284" t="s">
        <v>997</v>
      </c>
      <c r="D167" s="283" t="s">
        <v>1192</v>
      </c>
      <c r="L167" s="285"/>
      <c r="M167" s="285"/>
      <c r="N167" s="285">
        <v>2500</v>
      </c>
    </row>
    <row r="168" spans="2:14" s="283" customFormat="1" ht="14.25">
      <c r="B168" s="284"/>
      <c r="C168" s="284" t="s">
        <v>997</v>
      </c>
      <c r="D168" s="283" t="s">
        <v>1303</v>
      </c>
      <c r="L168" s="285"/>
      <c r="M168" s="285"/>
      <c r="N168" s="285">
        <v>-3300</v>
      </c>
    </row>
    <row r="169" spans="2:14" s="283" customFormat="1" ht="14.25">
      <c r="B169" s="284"/>
      <c r="C169" s="284" t="s">
        <v>997</v>
      </c>
      <c r="D169" s="283" t="s">
        <v>1354</v>
      </c>
      <c r="L169" s="285"/>
      <c r="M169" s="285"/>
      <c r="N169" s="285">
        <v>-946</v>
      </c>
    </row>
    <row r="170" spans="12:13" ht="14.25">
      <c r="L170" s="268"/>
      <c r="M170" s="268"/>
    </row>
    <row r="171" spans="1:14" s="62" customFormat="1" ht="14.25">
      <c r="A171" s="62" t="s">
        <v>30</v>
      </c>
      <c r="B171" s="62" t="s">
        <v>1137</v>
      </c>
      <c r="L171" s="277"/>
      <c r="M171" s="277"/>
      <c r="N171" s="277"/>
    </row>
    <row r="172" spans="2:14" s="62" customFormat="1" ht="14.25">
      <c r="B172" s="62" t="s">
        <v>1138</v>
      </c>
      <c r="L172" s="277"/>
      <c r="M172" s="277"/>
      <c r="N172" s="277">
        <f>SUM(N174)</f>
        <v>-26468</v>
      </c>
    </row>
    <row r="173" spans="12:14" s="62" customFormat="1" ht="14.25">
      <c r="L173" s="277"/>
      <c r="M173" s="277"/>
      <c r="N173" s="277"/>
    </row>
    <row r="174" spans="2:14" s="278" customFormat="1" ht="14.25">
      <c r="B174" s="281" t="s">
        <v>1048</v>
      </c>
      <c r="C174" s="278" t="s">
        <v>708</v>
      </c>
      <c r="L174" s="280"/>
      <c r="M174" s="280"/>
      <c r="N174" s="280">
        <f>SUM(N176:N184)</f>
        <v>-26468</v>
      </c>
    </row>
    <row r="175" spans="3:14" ht="14.25">
      <c r="C175" s="267" t="s">
        <v>997</v>
      </c>
      <c r="D175" s="61" t="s">
        <v>1022</v>
      </c>
      <c r="L175" s="268"/>
      <c r="M175" s="268"/>
      <c r="N175" s="268"/>
    </row>
    <row r="176" spans="4:14" ht="14.25">
      <c r="D176" s="267" t="s">
        <v>999</v>
      </c>
      <c r="E176" s="61" t="s">
        <v>1311</v>
      </c>
      <c r="L176" s="268"/>
      <c r="M176" s="268"/>
      <c r="N176" s="268">
        <v>-30106</v>
      </c>
    </row>
    <row r="177" spans="4:14" ht="14.25">
      <c r="D177" s="267" t="s">
        <v>999</v>
      </c>
      <c r="E177" s="61" t="s">
        <v>1004</v>
      </c>
      <c r="L177" s="268"/>
      <c r="M177" s="268"/>
      <c r="N177" s="268"/>
    </row>
    <row r="178" spans="4:14" ht="14.25">
      <c r="D178" s="267"/>
      <c r="E178" s="61" t="s">
        <v>1023</v>
      </c>
      <c r="L178" s="268"/>
      <c r="M178" s="268"/>
      <c r="N178" s="268">
        <v>1238</v>
      </c>
    </row>
    <row r="179" spans="4:14" ht="14.25">
      <c r="D179" s="267" t="s">
        <v>999</v>
      </c>
      <c r="E179" s="61" t="s">
        <v>1024</v>
      </c>
      <c r="L179" s="268"/>
      <c r="M179" s="268"/>
      <c r="N179" s="268">
        <v>1889</v>
      </c>
    </row>
    <row r="180" spans="4:14" ht="14.25">
      <c r="D180" s="267" t="s">
        <v>999</v>
      </c>
      <c r="E180" s="61" t="s">
        <v>1025</v>
      </c>
      <c r="L180" s="268"/>
      <c r="M180" s="268"/>
      <c r="N180" s="268">
        <v>473</v>
      </c>
    </row>
    <row r="181" spans="3:14" ht="14.25">
      <c r="C181" s="267" t="s">
        <v>997</v>
      </c>
      <c r="D181" s="61" t="s">
        <v>1026</v>
      </c>
      <c r="L181" s="268"/>
      <c r="M181" s="268"/>
      <c r="N181" s="268"/>
    </row>
    <row r="182" spans="4:14" ht="14.25">
      <c r="D182" s="267" t="s">
        <v>999</v>
      </c>
      <c r="E182" s="61" t="s">
        <v>1312</v>
      </c>
      <c r="L182" s="268"/>
      <c r="M182" s="268"/>
      <c r="N182" s="268">
        <v>-3633</v>
      </c>
    </row>
    <row r="183" spans="4:14" ht="14.25">
      <c r="D183" s="267" t="s">
        <v>999</v>
      </c>
      <c r="E183" s="61" t="s">
        <v>1027</v>
      </c>
      <c r="L183" s="268"/>
      <c r="M183" s="268"/>
      <c r="N183" s="268">
        <v>2985</v>
      </c>
    </row>
    <row r="184" spans="4:14" ht="14.25">
      <c r="D184" s="267" t="s">
        <v>999</v>
      </c>
      <c r="E184" s="61" t="s">
        <v>1028</v>
      </c>
      <c r="L184" s="268"/>
      <c r="M184" s="268"/>
      <c r="N184" s="268">
        <v>686</v>
      </c>
    </row>
    <row r="186" spans="1:14" s="62" customFormat="1" ht="14.25">
      <c r="A186" s="286" t="s">
        <v>31</v>
      </c>
      <c r="B186" s="286" t="s">
        <v>1030</v>
      </c>
      <c r="C186" s="286"/>
      <c r="D186" s="286"/>
      <c r="E186" s="286"/>
      <c r="F186" s="286"/>
      <c r="G186" s="286"/>
      <c r="H186" s="286"/>
      <c r="I186" s="286"/>
      <c r="J186" s="286"/>
      <c r="K186" s="286"/>
      <c r="L186" s="287"/>
      <c r="M186" s="287"/>
      <c r="N186" s="287">
        <f>SUM(N188:N194)</f>
        <v>25102</v>
      </c>
    </row>
    <row r="187" spans="12:14" s="62" customFormat="1" ht="14.25">
      <c r="L187" s="277"/>
      <c r="M187" s="277"/>
      <c r="N187" s="277"/>
    </row>
    <row r="188" spans="1:14" ht="14.25">
      <c r="A188" s="283"/>
      <c r="B188" s="284" t="s">
        <v>1052</v>
      </c>
      <c r="C188" s="283" t="s">
        <v>1032</v>
      </c>
      <c r="D188" s="283"/>
      <c r="E188" s="283"/>
      <c r="F188" s="283"/>
      <c r="G188" s="283"/>
      <c r="H188" s="283"/>
      <c r="I188" s="283"/>
      <c r="J188" s="283"/>
      <c r="K188" s="283"/>
      <c r="L188" s="285"/>
      <c r="M188" s="285"/>
      <c r="N188" s="285">
        <v>2002</v>
      </c>
    </row>
    <row r="189" spans="1:14" ht="14.25">
      <c r="A189" s="283"/>
      <c r="B189" s="284" t="s">
        <v>1304</v>
      </c>
      <c r="C189" s="283" t="s">
        <v>1034</v>
      </c>
      <c r="D189" s="283"/>
      <c r="E189" s="283"/>
      <c r="F189" s="283"/>
      <c r="G189" s="283"/>
      <c r="H189" s="283"/>
      <c r="I189" s="283"/>
      <c r="J189" s="283"/>
      <c r="K189" s="283"/>
      <c r="L189" s="285"/>
      <c r="M189" s="285"/>
      <c r="N189" s="285">
        <v>-152</v>
      </c>
    </row>
    <row r="190" spans="1:14" ht="14.25">
      <c r="A190" s="283"/>
      <c r="B190" s="284" t="s">
        <v>1305</v>
      </c>
      <c r="C190" s="283" t="s">
        <v>1035</v>
      </c>
      <c r="D190" s="283"/>
      <c r="E190" s="283"/>
      <c r="F190" s="283"/>
      <c r="G190" s="283"/>
      <c r="H190" s="283"/>
      <c r="I190" s="283"/>
      <c r="J190" s="283"/>
      <c r="K190" s="283"/>
      <c r="L190" s="285"/>
      <c r="M190" s="285"/>
      <c r="N190" s="285">
        <v>533</v>
      </c>
    </row>
    <row r="191" spans="1:14" ht="14.25">
      <c r="A191" s="283"/>
      <c r="B191" s="284" t="s">
        <v>1306</v>
      </c>
      <c r="C191" s="283" t="s">
        <v>1036</v>
      </c>
      <c r="D191" s="283"/>
      <c r="E191" s="283"/>
      <c r="F191" s="283"/>
      <c r="G191" s="283"/>
      <c r="H191" s="283"/>
      <c r="I191" s="283"/>
      <c r="J191" s="283"/>
      <c r="K191" s="283"/>
      <c r="L191" s="285"/>
      <c r="M191" s="285"/>
      <c r="N191" s="285">
        <v>1806</v>
      </c>
    </row>
    <row r="192" spans="1:14" ht="14.25">
      <c r="A192" s="283"/>
      <c r="B192" s="284" t="s">
        <v>1307</v>
      </c>
      <c r="C192" s="283" t="s">
        <v>1037</v>
      </c>
      <c r="D192" s="283"/>
      <c r="E192" s="283"/>
      <c r="F192" s="283"/>
      <c r="G192" s="283"/>
      <c r="H192" s="283"/>
      <c r="I192" s="283"/>
      <c r="J192" s="283"/>
      <c r="K192" s="283"/>
      <c r="L192" s="285"/>
      <c r="M192" s="285"/>
      <c r="N192" s="285">
        <v>4170</v>
      </c>
    </row>
    <row r="193" spans="1:14" ht="14.25">
      <c r="A193" s="283"/>
      <c r="B193" s="284" t="s">
        <v>1308</v>
      </c>
      <c r="C193" s="283" t="s">
        <v>1038</v>
      </c>
      <c r="D193" s="283"/>
      <c r="E193" s="283"/>
      <c r="F193" s="283"/>
      <c r="G193" s="283"/>
      <c r="H193" s="283"/>
      <c r="I193" s="283"/>
      <c r="J193" s="283"/>
      <c r="K193" s="283"/>
      <c r="L193" s="285"/>
      <c r="M193" s="285"/>
      <c r="N193" s="285">
        <v>3518</v>
      </c>
    </row>
    <row r="194" spans="1:14" ht="14.25">
      <c r="A194" s="283"/>
      <c r="B194" s="284" t="s">
        <v>1309</v>
      </c>
      <c r="C194" s="283" t="s">
        <v>1039</v>
      </c>
      <c r="D194" s="283"/>
      <c r="E194" s="283"/>
      <c r="F194" s="283"/>
      <c r="G194" s="283"/>
      <c r="H194" s="283"/>
      <c r="I194" s="283"/>
      <c r="J194" s="283"/>
      <c r="K194" s="283"/>
      <c r="L194" s="285"/>
      <c r="M194" s="285"/>
      <c r="N194" s="285">
        <v>13225</v>
      </c>
    </row>
    <row r="195" spans="2:14" ht="14.25">
      <c r="B195" s="267"/>
      <c r="L195" s="268"/>
      <c r="M195" s="268"/>
      <c r="N195" s="268"/>
    </row>
    <row r="196" spans="1:14" s="62" customFormat="1" ht="14.25">
      <c r="A196" s="62" t="s">
        <v>32</v>
      </c>
      <c r="B196" s="282" t="s">
        <v>1140</v>
      </c>
      <c r="L196" s="277"/>
      <c r="M196" s="277"/>
      <c r="N196" s="277">
        <f>SUM(N198,N202,N211)</f>
        <v>1478</v>
      </c>
    </row>
    <row r="197" spans="2:14" ht="14.25">
      <c r="B197" s="267"/>
      <c r="L197" s="268"/>
      <c r="M197" s="268"/>
      <c r="N197" s="268"/>
    </row>
    <row r="198" spans="2:14" s="302" customFormat="1" ht="14.25">
      <c r="B198" s="303" t="s">
        <v>1055</v>
      </c>
      <c r="C198" s="302" t="s">
        <v>1141</v>
      </c>
      <c r="L198" s="304"/>
      <c r="M198" s="304"/>
      <c r="N198" s="304">
        <f>SUM(N199:N200)</f>
        <v>-570</v>
      </c>
    </row>
    <row r="199" spans="2:14" s="283" customFormat="1" ht="14.25">
      <c r="B199" s="284"/>
      <c r="C199" s="284" t="s">
        <v>997</v>
      </c>
      <c r="D199" s="283" t="s">
        <v>1142</v>
      </c>
      <c r="L199" s="285"/>
      <c r="M199" s="285"/>
      <c r="N199" s="285">
        <v>-600</v>
      </c>
    </row>
    <row r="200" spans="2:14" s="283" customFormat="1" ht="14.25">
      <c r="B200" s="284"/>
      <c r="C200" s="284" t="s">
        <v>997</v>
      </c>
      <c r="D200" s="283" t="s">
        <v>1154</v>
      </c>
      <c r="L200" s="285"/>
      <c r="M200" s="285"/>
      <c r="N200" s="285">
        <v>30</v>
      </c>
    </row>
    <row r="201" spans="2:14" s="283" customFormat="1" ht="14.25">
      <c r="B201" s="284"/>
      <c r="L201" s="285"/>
      <c r="M201" s="285"/>
      <c r="N201" s="285"/>
    </row>
    <row r="202" spans="2:14" s="302" customFormat="1" ht="14.25">
      <c r="B202" s="303" t="s">
        <v>1193</v>
      </c>
      <c r="C202" s="302" t="s">
        <v>576</v>
      </c>
      <c r="L202" s="304"/>
      <c r="M202" s="304"/>
      <c r="N202" s="304">
        <f>SUM(N203:N209)</f>
        <v>548</v>
      </c>
    </row>
    <row r="203" spans="2:14" s="283" customFormat="1" ht="14.25">
      <c r="B203" s="284"/>
      <c r="C203" s="284" t="s">
        <v>997</v>
      </c>
      <c r="D203" s="283" t="s">
        <v>1143</v>
      </c>
      <c r="L203" s="285"/>
      <c r="M203" s="285"/>
      <c r="N203" s="285">
        <v>600</v>
      </c>
    </row>
    <row r="204" spans="2:14" s="283" customFormat="1" ht="14.25">
      <c r="B204" s="284"/>
      <c r="C204" s="284" t="s">
        <v>997</v>
      </c>
      <c r="D204" s="283" t="s">
        <v>1144</v>
      </c>
      <c r="L204" s="285"/>
      <c r="M204" s="285"/>
      <c r="N204" s="285">
        <v>500</v>
      </c>
    </row>
    <row r="205" spans="2:14" s="283" customFormat="1" ht="14.25">
      <c r="B205" s="284"/>
      <c r="C205" s="284" t="s">
        <v>997</v>
      </c>
      <c r="D205" s="283" t="s">
        <v>1156</v>
      </c>
      <c r="L205" s="285"/>
      <c r="M205" s="285"/>
      <c r="N205" s="285"/>
    </row>
    <row r="206" spans="2:14" s="283" customFormat="1" ht="14.25">
      <c r="B206" s="284"/>
      <c r="C206" s="284"/>
      <c r="D206" s="284" t="s">
        <v>999</v>
      </c>
      <c r="E206" s="283" t="s">
        <v>1157</v>
      </c>
      <c r="L206" s="285"/>
      <c r="M206" s="285"/>
      <c r="N206" s="285">
        <v>280</v>
      </c>
    </row>
    <row r="207" spans="2:14" s="283" customFormat="1" ht="14.25">
      <c r="B207" s="284"/>
      <c r="C207" s="284"/>
      <c r="D207" s="284" t="s">
        <v>999</v>
      </c>
      <c r="E207" s="283" t="s">
        <v>1155</v>
      </c>
      <c r="L207" s="285"/>
      <c r="M207" s="285"/>
      <c r="N207" s="285">
        <v>668</v>
      </c>
    </row>
    <row r="208" spans="2:14" s="283" customFormat="1" ht="14.25">
      <c r="B208" s="284"/>
      <c r="C208" s="284" t="s">
        <v>997</v>
      </c>
      <c r="D208" s="284" t="s">
        <v>1313</v>
      </c>
      <c r="L208" s="285"/>
      <c r="M208" s="285"/>
      <c r="N208" s="285">
        <v>-1000</v>
      </c>
    </row>
    <row r="209" spans="2:14" s="283" customFormat="1" ht="14.25">
      <c r="B209" s="284"/>
      <c r="C209" s="284" t="s">
        <v>997</v>
      </c>
      <c r="D209" s="284" t="s">
        <v>1314</v>
      </c>
      <c r="L209" s="285"/>
      <c r="M209" s="285"/>
      <c r="N209" s="285">
        <v>-500</v>
      </c>
    </row>
    <row r="210" spans="2:14" s="283" customFormat="1" ht="14.25">
      <c r="B210" s="284"/>
      <c r="C210" s="284"/>
      <c r="D210" s="284"/>
      <c r="L210" s="285"/>
      <c r="M210" s="285"/>
      <c r="N210" s="285"/>
    </row>
    <row r="211" spans="2:14" s="302" customFormat="1" ht="14.25">
      <c r="B211" s="303" t="s">
        <v>1194</v>
      </c>
      <c r="C211" s="303" t="s">
        <v>216</v>
      </c>
      <c r="D211" s="303"/>
      <c r="L211" s="304"/>
      <c r="M211" s="304"/>
      <c r="N211" s="304">
        <f>SUM(N212)</f>
        <v>1500</v>
      </c>
    </row>
    <row r="212" spans="2:14" s="283" customFormat="1" ht="14.25">
      <c r="B212" s="284"/>
      <c r="C212" s="284" t="s">
        <v>997</v>
      </c>
      <c r="D212" s="284" t="s">
        <v>1196</v>
      </c>
      <c r="L212" s="285"/>
      <c r="M212" s="285"/>
      <c r="N212" s="285">
        <v>1500</v>
      </c>
    </row>
    <row r="213" spans="2:14" ht="14.25">
      <c r="B213" s="267"/>
      <c r="L213" s="268"/>
      <c r="M213" s="268"/>
      <c r="N213" s="268"/>
    </row>
    <row r="214" spans="1:14" s="62" customFormat="1" ht="14.25">
      <c r="A214" s="62" t="s">
        <v>33</v>
      </c>
      <c r="B214" s="282" t="s">
        <v>1197</v>
      </c>
      <c r="L214" s="277"/>
      <c r="M214" s="277"/>
      <c r="N214" s="277">
        <f>SUM(N216,N219,N223,N226)</f>
        <v>9313</v>
      </c>
    </row>
    <row r="215" spans="2:14" ht="14.25">
      <c r="B215" s="267"/>
      <c r="L215" s="268"/>
      <c r="M215" s="268"/>
      <c r="N215" s="268"/>
    </row>
    <row r="216" spans="2:14" s="302" customFormat="1" ht="14.25">
      <c r="B216" s="303" t="s">
        <v>1058</v>
      </c>
      <c r="C216" s="302" t="s">
        <v>115</v>
      </c>
      <c r="L216" s="304"/>
      <c r="M216" s="304"/>
      <c r="N216" s="304">
        <f>SUM(N217)</f>
        <v>8704</v>
      </c>
    </row>
    <row r="217" spans="2:14" s="283" customFormat="1" ht="14.25">
      <c r="B217" s="284"/>
      <c r="C217" s="284" t="s">
        <v>997</v>
      </c>
      <c r="D217" s="283" t="s">
        <v>1200</v>
      </c>
      <c r="L217" s="285"/>
      <c r="M217" s="285"/>
      <c r="N217" s="285">
        <v>8704</v>
      </c>
    </row>
    <row r="218" spans="2:14" s="283" customFormat="1" ht="14.25">
      <c r="B218" s="284"/>
      <c r="L218" s="285"/>
      <c r="M218" s="285"/>
      <c r="N218" s="285"/>
    </row>
    <row r="219" spans="2:14" s="302" customFormat="1" ht="14.25">
      <c r="B219" s="303" t="s">
        <v>1195</v>
      </c>
      <c r="C219" s="302" t="s">
        <v>1051</v>
      </c>
      <c r="L219" s="304"/>
      <c r="M219" s="304"/>
      <c r="N219" s="304">
        <f>SUM(N221)</f>
        <v>1415</v>
      </c>
    </row>
    <row r="220" spans="2:14" s="283" customFormat="1" ht="14.25">
      <c r="B220" s="284"/>
      <c r="C220" s="284" t="s">
        <v>997</v>
      </c>
      <c r="D220" s="283" t="s">
        <v>1198</v>
      </c>
      <c r="L220" s="285"/>
      <c r="M220" s="285"/>
      <c r="N220" s="285"/>
    </row>
    <row r="221" spans="2:14" s="283" customFormat="1" ht="14.25">
      <c r="B221" s="284"/>
      <c r="C221" s="284"/>
      <c r="D221" s="283" t="s">
        <v>1199</v>
      </c>
      <c r="L221" s="285"/>
      <c r="M221" s="285"/>
      <c r="N221" s="285">
        <v>1415</v>
      </c>
    </row>
    <row r="222" spans="2:14" s="283" customFormat="1" ht="14.25">
      <c r="B222" s="284"/>
      <c r="L222" s="285"/>
      <c r="M222" s="285"/>
      <c r="N222" s="285"/>
    </row>
    <row r="223" spans="2:14" s="302" customFormat="1" ht="14.25">
      <c r="B223" s="303" t="s">
        <v>1218</v>
      </c>
      <c r="C223" s="302" t="s">
        <v>576</v>
      </c>
      <c r="L223" s="304"/>
      <c r="M223" s="304"/>
      <c r="N223" s="304">
        <f>SUM(N224)</f>
        <v>194</v>
      </c>
    </row>
    <row r="224" spans="2:14" s="283" customFormat="1" ht="14.25">
      <c r="B224" s="284"/>
      <c r="C224" s="284" t="s">
        <v>997</v>
      </c>
      <c r="D224" s="283" t="s">
        <v>1201</v>
      </c>
      <c r="L224" s="285"/>
      <c r="M224" s="285"/>
      <c r="N224" s="285">
        <v>194</v>
      </c>
    </row>
    <row r="225" spans="2:14" s="283" customFormat="1" ht="14.25">
      <c r="B225" s="284"/>
      <c r="L225" s="285"/>
      <c r="M225" s="285"/>
      <c r="N225" s="285"/>
    </row>
    <row r="226" spans="2:14" s="302" customFormat="1" ht="14.25">
      <c r="B226" s="303" t="s">
        <v>1315</v>
      </c>
      <c r="C226" s="303" t="s">
        <v>216</v>
      </c>
      <c r="L226" s="304"/>
      <c r="M226" s="304"/>
      <c r="N226" s="304">
        <f>SUM(N227)</f>
        <v>-1000</v>
      </c>
    </row>
    <row r="227" spans="3:14" s="283" customFormat="1" ht="14.25">
      <c r="C227" s="284" t="s">
        <v>997</v>
      </c>
      <c r="D227" s="283" t="s">
        <v>1202</v>
      </c>
      <c r="L227" s="285"/>
      <c r="M227" s="285"/>
      <c r="N227" s="285">
        <v>-1000</v>
      </c>
    </row>
    <row r="228" spans="3:13" s="283" customFormat="1" ht="14.25">
      <c r="C228" s="284"/>
      <c r="L228" s="285"/>
      <c r="M228" s="285"/>
    </row>
    <row r="229" spans="1:14" s="62" customFormat="1" ht="14.25">
      <c r="A229" s="62" t="s">
        <v>34</v>
      </c>
      <c r="B229" s="282" t="s">
        <v>907</v>
      </c>
      <c r="L229" s="277"/>
      <c r="M229" s="277"/>
      <c r="N229" s="277">
        <f>SUM(N231,N235,N239,N244)</f>
        <v>25179</v>
      </c>
    </row>
    <row r="230" spans="2:14" ht="14.25">
      <c r="B230" s="267"/>
      <c r="L230" s="268"/>
      <c r="M230" s="268"/>
      <c r="N230" s="268"/>
    </row>
    <row r="231" spans="2:14" s="302" customFormat="1" ht="14.25">
      <c r="B231" s="303" t="s">
        <v>1316</v>
      </c>
      <c r="C231" s="302" t="s">
        <v>115</v>
      </c>
      <c r="L231" s="304"/>
      <c r="M231" s="304"/>
      <c r="N231" s="304">
        <f>SUM(N232:N233)</f>
        <v>19445</v>
      </c>
    </row>
    <row r="232" spans="2:14" s="283" customFormat="1" ht="14.25">
      <c r="B232" s="284"/>
      <c r="C232" s="284" t="s">
        <v>997</v>
      </c>
      <c r="D232" s="283" t="s">
        <v>1161</v>
      </c>
      <c r="L232" s="285"/>
      <c r="M232" s="285"/>
      <c r="N232" s="285">
        <v>3952</v>
      </c>
    </row>
    <row r="233" spans="2:14" s="283" customFormat="1" ht="14.25">
      <c r="B233" s="284"/>
      <c r="C233" s="284" t="s">
        <v>997</v>
      </c>
      <c r="D233" s="283" t="s">
        <v>1162</v>
      </c>
      <c r="L233" s="285"/>
      <c r="M233" s="285"/>
      <c r="N233" s="285">
        <v>15493</v>
      </c>
    </row>
    <row r="234" spans="2:14" s="283" customFormat="1" ht="14.25">
      <c r="B234" s="284"/>
      <c r="L234" s="285"/>
      <c r="M234" s="285"/>
      <c r="N234" s="285"/>
    </row>
    <row r="235" spans="2:14" s="302" customFormat="1" ht="14.25">
      <c r="B235" s="303" t="s">
        <v>1164</v>
      </c>
      <c r="C235" s="302" t="s">
        <v>1051</v>
      </c>
      <c r="L235" s="304"/>
      <c r="M235" s="304"/>
      <c r="N235" s="304">
        <f>SUM(N236:N237)</f>
        <v>2626</v>
      </c>
    </row>
    <row r="236" spans="2:14" s="283" customFormat="1" ht="14.25">
      <c r="B236" s="284"/>
      <c r="C236" s="284" t="s">
        <v>997</v>
      </c>
      <c r="D236" s="283" t="s">
        <v>1161</v>
      </c>
      <c r="L236" s="285"/>
      <c r="M236" s="285"/>
      <c r="N236" s="285">
        <v>534</v>
      </c>
    </row>
    <row r="237" spans="2:14" s="283" customFormat="1" ht="14.25">
      <c r="B237" s="284"/>
      <c r="C237" s="284" t="s">
        <v>997</v>
      </c>
      <c r="D237" s="283" t="s">
        <v>1162</v>
      </c>
      <c r="L237" s="285"/>
      <c r="M237" s="285"/>
      <c r="N237" s="285">
        <v>2092</v>
      </c>
    </row>
    <row r="238" spans="2:14" s="283" customFormat="1" ht="14.25">
      <c r="B238" s="284"/>
      <c r="L238" s="285"/>
      <c r="M238" s="285"/>
      <c r="N238" s="285"/>
    </row>
    <row r="239" spans="2:14" s="302" customFormat="1" ht="14.25">
      <c r="B239" s="303" t="s">
        <v>1165</v>
      </c>
      <c r="C239" s="302" t="s">
        <v>576</v>
      </c>
      <c r="L239" s="304"/>
      <c r="M239" s="304"/>
      <c r="N239" s="304">
        <f>SUM(N240:N242)</f>
        <v>1692</v>
      </c>
    </row>
    <row r="240" spans="2:14" s="283" customFormat="1" ht="14.25">
      <c r="B240" s="284"/>
      <c r="C240" s="284" t="s">
        <v>997</v>
      </c>
      <c r="D240" s="283" t="s">
        <v>1162</v>
      </c>
      <c r="L240" s="285"/>
      <c r="M240" s="285"/>
      <c r="N240" s="285">
        <v>616</v>
      </c>
    </row>
    <row r="241" spans="2:14" s="283" customFormat="1" ht="14.25">
      <c r="B241" s="284"/>
      <c r="C241" s="284" t="s">
        <v>997</v>
      </c>
      <c r="D241" s="283" t="s">
        <v>1203</v>
      </c>
      <c r="L241" s="285"/>
      <c r="M241" s="285"/>
      <c r="N241" s="285">
        <v>76</v>
      </c>
    </row>
    <row r="242" spans="2:14" s="283" customFormat="1" ht="14.25">
      <c r="B242" s="284"/>
      <c r="C242" s="284" t="s">
        <v>997</v>
      </c>
      <c r="D242" s="283" t="s">
        <v>1204</v>
      </c>
      <c r="L242" s="285"/>
      <c r="M242" s="285"/>
      <c r="N242" s="285">
        <v>1000</v>
      </c>
    </row>
    <row r="243" spans="2:14" s="283" customFormat="1" ht="14.25">
      <c r="B243" s="284"/>
      <c r="L243" s="285"/>
      <c r="M243" s="285"/>
      <c r="N243" s="285"/>
    </row>
    <row r="244" spans="2:14" s="302" customFormat="1" ht="14.25">
      <c r="B244" s="303" t="s">
        <v>1166</v>
      </c>
      <c r="C244" s="303" t="s">
        <v>216</v>
      </c>
      <c r="L244" s="304"/>
      <c r="M244" s="304"/>
      <c r="N244" s="304">
        <f>SUM(N245:N246)</f>
        <v>1416</v>
      </c>
    </row>
    <row r="245" spans="3:14" s="283" customFormat="1" ht="14.25">
      <c r="C245" s="284" t="s">
        <v>997</v>
      </c>
      <c r="D245" s="283" t="s">
        <v>1161</v>
      </c>
      <c r="L245" s="285"/>
      <c r="M245" s="285"/>
      <c r="N245" s="283">
        <v>449</v>
      </c>
    </row>
    <row r="246" spans="3:14" s="283" customFormat="1" ht="14.25">
      <c r="C246" s="284" t="s">
        <v>997</v>
      </c>
      <c r="D246" s="283" t="s">
        <v>1162</v>
      </c>
      <c r="L246" s="285"/>
      <c r="M246" s="285"/>
      <c r="N246" s="285">
        <v>967</v>
      </c>
    </row>
    <row r="247" spans="2:14" ht="14.25">
      <c r="B247" s="267"/>
      <c r="L247" s="268"/>
      <c r="M247" s="268"/>
      <c r="N247" s="268"/>
    </row>
    <row r="248" spans="1:14" s="62" customFormat="1" ht="14.25">
      <c r="A248" s="62" t="s">
        <v>35</v>
      </c>
      <c r="B248" s="62" t="s">
        <v>910</v>
      </c>
      <c r="L248" s="277"/>
      <c r="M248" s="277"/>
      <c r="N248" s="277">
        <f>SUM(N250)</f>
        <v>68300</v>
      </c>
    </row>
    <row r="249" spans="12:14" ht="14.25">
      <c r="L249" s="268"/>
      <c r="M249" s="268"/>
      <c r="N249" s="268"/>
    </row>
    <row r="250" spans="2:14" s="278" customFormat="1" ht="14.25">
      <c r="B250" s="281" t="s">
        <v>1158</v>
      </c>
      <c r="C250" s="278" t="s">
        <v>130</v>
      </c>
      <c r="L250" s="280"/>
      <c r="M250" s="280"/>
      <c r="N250" s="280">
        <f>SUM(N252:N257)</f>
        <v>68300</v>
      </c>
    </row>
    <row r="251" spans="2:14" ht="14.25">
      <c r="B251" s="267"/>
      <c r="C251" s="267" t="s">
        <v>997</v>
      </c>
      <c r="D251" s="61" t="s">
        <v>1291</v>
      </c>
      <c r="L251" s="268"/>
      <c r="M251" s="268"/>
      <c r="N251" s="268"/>
    </row>
    <row r="252" spans="2:14" ht="14.25">
      <c r="B252" s="267"/>
      <c r="D252" s="61" t="s">
        <v>1292</v>
      </c>
      <c r="L252" s="268"/>
      <c r="M252" s="268"/>
      <c r="N252" s="268"/>
    </row>
    <row r="253" spans="2:14" ht="14.25">
      <c r="B253" s="266"/>
      <c r="C253" s="267"/>
      <c r="D253" s="61" t="s">
        <v>1293</v>
      </c>
      <c r="L253" s="268"/>
      <c r="M253" s="268"/>
      <c r="N253" s="268"/>
    </row>
    <row r="254" spans="2:14" ht="14.25">
      <c r="B254" s="266"/>
      <c r="C254" s="267"/>
      <c r="D254" s="61" t="s">
        <v>1294</v>
      </c>
      <c r="L254" s="268"/>
      <c r="M254" s="268"/>
      <c r="N254" s="268"/>
    </row>
    <row r="255" spans="2:14" ht="14.25">
      <c r="B255" s="267"/>
      <c r="D255" s="267" t="s">
        <v>999</v>
      </c>
      <c r="E255" s="61" t="s">
        <v>1317</v>
      </c>
      <c r="L255" s="268"/>
      <c r="M255" s="268"/>
      <c r="N255" s="268">
        <v>23900</v>
      </c>
    </row>
    <row r="256" spans="2:14" ht="14.25">
      <c r="B256" s="267"/>
      <c r="D256" s="267" t="s">
        <v>999</v>
      </c>
      <c r="E256" s="61" t="s">
        <v>1318</v>
      </c>
      <c r="L256" s="268"/>
      <c r="M256" s="268"/>
      <c r="N256" s="268">
        <v>41100</v>
      </c>
    </row>
    <row r="257" spans="2:14" ht="14.25">
      <c r="B257" s="267"/>
      <c r="D257" s="267" t="s">
        <v>999</v>
      </c>
      <c r="E257" s="61" t="s">
        <v>1262</v>
      </c>
      <c r="L257" s="268"/>
      <c r="M257" s="268"/>
      <c r="N257" s="268">
        <v>3300</v>
      </c>
    </row>
    <row r="258" spans="2:14" ht="14.25">
      <c r="B258" s="267"/>
      <c r="D258" s="267"/>
      <c r="E258" s="61" t="s">
        <v>1319</v>
      </c>
      <c r="L258" s="268"/>
      <c r="M258" s="268"/>
      <c r="N258" s="268"/>
    </row>
    <row r="259" spans="2:14" ht="14.25">
      <c r="B259" s="267"/>
      <c r="L259" s="268"/>
      <c r="M259" s="268"/>
      <c r="N259" s="268"/>
    </row>
    <row r="260" spans="1:14" s="62" customFormat="1" ht="14.25">
      <c r="A260" s="62" t="s">
        <v>36</v>
      </c>
      <c r="B260" s="282" t="s">
        <v>1205</v>
      </c>
      <c r="L260" s="277"/>
      <c r="M260" s="277"/>
      <c r="N260" s="277"/>
    </row>
    <row r="261" spans="2:14" ht="14.25">
      <c r="B261" s="282" t="s">
        <v>1206</v>
      </c>
      <c r="L261" s="268"/>
      <c r="M261" s="268"/>
      <c r="N261" s="277">
        <f>SUM(N263,N266)</f>
        <v>0</v>
      </c>
    </row>
    <row r="262" spans="2:14" ht="14.25">
      <c r="B262" s="267"/>
      <c r="L262" s="268"/>
      <c r="M262" s="268"/>
      <c r="N262" s="268"/>
    </row>
    <row r="263" spans="2:14" s="302" customFormat="1" ht="14.25">
      <c r="B263" s="303" t="s">
        <v>1159</v>
      </c>
      <c r="C263" s="302" t="s">
        <v>576</v>
      </c>
      <c r="L263" s="304"/>
      <c r="M263" s="304"/>
      <c r="N263" s="304">
        <f>SUM(N264)</f>
        <v>-800</v>
      </c>
    </row>
    <row r="264" spans="2:14" s="283" customFormat="1" ht="14.25">
      <c r="B264" s="284"/>
      <c r="C264" s="284" t="s">
        <v>997</v>
      </c>
      <c r="D264" s="283" t="s">
        <v>1207</v>
      </c>
      <c r="L264" s="285"/>
      <c r="M264" s="285"/>
      <c r="N264" s="285">
        <v>-800</v>
      </c>
    </row>
    <row r="265" spans="2:14" s="283" customFormat="1" ht="14.25">
      <c r="B265" s="284"/>
      <c r="L265" s="285"/>
      <c r="M265" s="285"/>
      <c r="N265" s="285"/>
    </row>
    <row r="266" spans="2:14" s="302" customFormat="1" ht="14.25">
      <c r="B266" s="303" t="s">
        <v>1320</v>
      </c>
      <c r="C266" s="302" t="s">
        <v>216</v>
      </c>
      <c r="L266" s="304"/>
      <c r="M266" s="304"/>
      <c r="N266" s="304">
        <f>SUM(N267)</f>
        <v>800</v>
      </c>
    </row>
    <row r="267" spans="2:14" s="283" customFormat="1" ht="14.25">
      <c r="B267" s="284"/>
      <c r="C267" s="284" t="s">
        <v>997</v>
      </c>
      <c r="D267" s="283" t="s">
        <v>1208</v>
      </c>
      <c r="L267" s="285"/>
      <c r="M267" s="285"/>
      <c r="N267" s="285">
        <v>800</v>
      </c>
    </row>
    <row r="268" spans="2:14" ht="14.25">
      <c r="B268" s="267"/>
      <c r="L268" s="268"/>
      <c r="M268" s="268"/>
      <c r="N268" s="268"/>
    </row>
    <row r="269" spans="1:14" s="62" customFormat="1" ht="14.25">
      <c r="A269" s="62" t="s">
        <v>37</v>
      </c>
      <c r="B269" s="62" t="s">
        <v>918</v>
      </c>
      <c r="L269" s="277"/>
      <c r="M269" s="277"/>
      <c r="N269" s="277">
        <f>SUM(N271)</f>
        <v>639</v>
      </c>
    </row>
    <row r="270" spans="12:14" s="62" customFormat="1" ht="14.25">
      <c r="L270" s="277"/>
      <c r="M270" s="277"/>
      <c r="N270" s="277"/>
    </row>
    <row r="271" spans="2:14" s="278" customFormat="1" ht="14.25">
      <c r="B271" s="281" t="s">
        <v>1160</v>
      </c>
      <c r="C271" s="278" t="s">
        <v>1139</v>
      </c>
      <c r="L271" s="280"/>
      <c r="M271" s="280"/>
      <c r="N271" s="280">
        <f>SUM(N272:N275)</f>
        <v>639</v>
      </c>
    </row>
    <row r="272" spans="2:14" ht="14.25">
      <c r="B272" s="267"/>
      <c r="C272" s="267" t="s">
        <v>997</v>
      </c>
      <c r="D272" s="61" t="s">
        <v>1321</v>
      </c>
      <c r="L272" s="268"/>
      <c r="M272" s="268"/>
      <c r="N272" s="268">
        <v>500</v>
      </c>
    </row>
    <row r="273" spans="2:14" s="283" customFormat="1" ht="14.25">
      <c r="B273" s="284"/>
      <c r="C273" s="284" t="s">
        <v>997</v>
      </c>
      <c r="D273" s="283" t="s">
        <v>1322</v>
      </c>
      <c r="L273" s="285"/>
      <c r="M273" s="285"/>
      <c r="N273" s="285"/>
    </row>
    <row r="274" spans="2:14" s="283" customFormat="1" ht="14.25">
      <c r="B274" s="284"/>
      <c r="C274" s="284"/>
      <c r="D274" s="283" t="s">
        <v>1152</v>
      </c>
      <c r="L274" s="285"/>
      <c r="M274" s="285"/>
      <c r="N274" s="285"/>
    </row>
    <row r="275" spans="2:14" s="283" customFormat="1" ht="14.25">
      <c r="B275" s="284"/>
      <c r="D275" s="283" t="s">
        <v>1153</v>
      </c>
      <c r="L275" s="285"/>
      <c r="M275" s="285"/>
      <c r="N275" s="285">
        <v>139</v>
      </c>
    </row>
    <row r="276" spans="2:14" ht="14.25">
      <c r="B276" s="267"/>
      <c r="L276" s="268"/>
      <c r="M276" s="268"/>
      <c r="N276" s="268"/>
    </row>
    <row r="277" spans="1:14" s="62" customFormat="1" ht="14.25">
      <c r="A277" s="62" t="s">
        <v>38</v>
      </c>
      <c r="B277" s="62" t="s">
        <v>1373</v>
      </c>
      <c r="L277" s="277"/>
      <c r="M277" s="277"/>
      <c r="N277" s="277">
        <f>SUM(N279)</f>
        <v>350</v>
      </c>
    </row>
    <row r="278" spans="12:14" ht="14.25">
      <c r="L278" s="268"/>
      <c r="M278" s="268"/>
      <c r="N278" s="268"/>
    </row>
    <row r="279" spans="2:14" s="278" customFormat="1" ht="14.25">
      <c r="B279" s="281" t="s">
        <v>1167</v>
      </c>
      <c r="C279" s="278" t="s">
        <v>576</v>
      </c>
      <c r="L279" s="280"/>
      <c r="M279" s="280"/>
      <c r="N279" s="280">
        <f>SUM(N280)</f>
        <v>350</v>
      </c>
    </row>
    <row r="280" spans="2:14" ht="14.25">
      <c r="B280" s="267"/>
      <c r="C280" s="267" t="s">
        <v>997</v>
      </c>
      <c r="D280" s="61" t="s">
        <v>1321</v>
      </c>
      <c r="L280" s="268"/>
      <c r="M280" s="268"/>
      <c r="N280" s="268">
        <v>350</v>
      </c>
    </row>
    <row r="281" spans="2:14" ht="14.25">
      <c r="B281" s="267"/>
      <c r="L281" s="268"/>
      <c r="M281" s="268"/>
      <c r="N281" s="268"/>
    </row>
    <row r="282" spans="1:14" s="62" customFormat="1" ht="14.25">
      <c r="A282" s="62" t="s">
        <v>39</v>
      </c>
      <c r="B282" s="62" t="s">
        <v>930</v>
      </c>
      <c r="L282" s="277"/>
      <c r="M282" s="277"/>
      <c r="N282" s="277">
        <f>SUM(N284)</f>
        <v>-13600</v>
      </c>
    </row>
    <row r="283" spans="12:14" ht="14.25">
      <c r="L283" s="268"/>
      <c r="M283" s="268"/>
      <c r="N283" s="268"/>
    </row>
    <row r="284" spans="2:14" s="278" customFormat="1" ht="14.25">
      <c r="B284" s="281" t="s">
        <v>1209</v>
      </c>
      <c r="C284" s="278" t="s">
        <v>216</v>
      </c>
      <c r="L284" s="280"/>
      <c r="M284" s="280"/>
      <c r="N284" s="280">
        <f>SUM(N285:N290)</f>
        <v>-13600</v>
      </c>
    </row>
    <row r="285" spans="3:14" ht="14.25">
      <c r="C285" s="267" t="s">
        <v>1044</v>
      </c>
      <c r="D285" s="61" t="s">
        <v>1045</v>
      </c>
      <c r="L285" s="268"/>
      <c r="M285" s="268"/>
      <c r="N285" s="268">
        <v>-3600</v>
      </c>
    </row>
    <row r="286" spans="2:14" ht="14.25">
      <c r="B286" s="267"/>
      <c r="C286" s="267" t="s">
        <v>997</v>
      </c>
      <c r="D286" s="61" t="s">
        <v>1291</v>
      </c>
      <c r="L286" s="268"/>
      <c r="M286" s="268"/>
      <c r="N286" s="268"/>
    </row>
    <row r="287" spans="2:14" ht="14.25">
      <c r="B287" s="267"/>
      <c r="D287" s="61" t="s">
        <v>1292</v>
      </c>
      <c r="L287" s="268"/>
      <c r="M287" s="268"/>
      <c r="N287" s="268"/>
    </row>
    <row r="288" spans="2:14" ht="14.25">
      <c r="B288" s="266"/>
      <c r="C288" s="267"/>
      <c r="D288" s="61" t="s">
        <v>1293</v>
      </c>
      <c r="L288" s="268"/>
      <c r="M288" s="268"/>
      <c r="N288" s="268"/>
    </row>
    <row r="289" spans="2:14" ht="14.25">
      <c r="B289" s="266"/>
      <c r="C289" s="267"/>
      <c r="D289" s="61" t="s">
        <v>1294</v>
      </c>
      <c r="L289" s="268"/>
      <c r="M289" s="268"/>
      <c r="N289" s="268"/>
    </row>
    <row r="290" spans="3:14" ht="14.25">
      <c r="C290" s="267"/>
      <c r="D290" s="61" t="s">
        <v>1046</v>
      </c>
      <c r="L290" s="268"/>
      <c r="M290" s="268"/>
      <c r="N290" s="268">
        <v>-10000</v>
      </c>
    </row>
    <row r="291" spans="12:14" ht="14.25">
      <c r="L291" s="268"/>
      <c r="M291" s="268"/>
      <c r="N291" s="268"/>
    </row>
    <row r="292" spans="1:14" s="62" customFormat="1" ht="14.25">
      <c r="A292" s="62" t="s">
        <v>41</v>
      </c>
      <c r="B292" s="62" t="s">
        <v>1047</v>
      </c>
      <c r="L292" s="277"/>
      <c r="M292" s="277"/>
      <c r="N292" s="277">
        <f>SUM(N294,N298,N302,N309)</f>
        <v>2684</v>
      </c>
    </row>
    <row r="293" spans="12:14" ht="14.25">
      <c r="L293" s="268"/>
      <c r="M293" s="268"/>
      <c r="N293" s="268"/>
    </row>
    <row r="294" spans="2:14" s="278" customFormat="1" ht="14.25">
      <c r="B294" s="281" t="s">
        <v>1210</v>
      </c>
      <c r="C294" s="278" t="s">
        <v>115</v>
      </c>
      <c r="L294" s="280"/>
      <c r="M294" s="280"/>
      <c r="N294" s="280">
        <f>SUM(N295:N296)</f>
        <v>1944</v>
      </c>
    </row>
    <row r="295" spans="3:14" ht="14.25">
      <c r="C295" s="267" t="s">
        <v>997</v>
      </c>
      <c r="D295" s="61" t="s">
        <v>1049</v>
      </c>
      <c r="L295" s="268"/>
      <c r="M295" s="268"/>
      <c r="N295" s="268">
        <v>1257</v>
      </c>
    </row>
    <row r="296" spans="3:14" ht="14.25">
      <c r="C296" s="267" t="s">
        <v>997</v>
      </c>
      <c r="D296" s="61" t="s">
        <v>1050</v>
      </c>
      <c r="L296" s="268"/>
      <c r="M296" s="268"/>
      <c r="N296" s="268">
        <v>687</v>
      </c>
    </row>
    <row r="297" spans="3:14" ht="14.25">
      <c r="C297" s="267"/>
      <c r="L297" s="268"/>
      <c r="M297" s="268"/>
      <c r="N297" s="268"/>
    </row>
    <row r="298" spans="2:14" s="278" customFormat="1" ht="14.25">
      <c r="B298" s="281" t="s">
        <v>1323</v>
      </c>
      <c r="C298" s="278" t="s">
        <v>1051</v>
      </c>
      <c r="L298" s="280"/>
      <c r="M298" s="280"/>
      <c r="N298" s="280">
        <f>SUM(N299:N300)</f>
        <v>525</v>
      </c>
    </row>
    <row r="299" spans="3:14" ht="14.25">
      <c r="C299" s="267" t="s">
        <v>997</v>
      </c>
      <c r="D299" s="61" t="s">
        <v>1049</v>
      </c>
      <c r="L299" s="268"/>
      <c r="M299" s="268"/>
      <c r="N299" s="268">
        <v>339</v>
      </c>
    </row>
    <row r="300" spans="3:14" ht="14.25">
      <c r="C300" s="267" t="s">
        <v>997</v>
      </c>
      <c r="D300" s="61" t="s">
        <v>1050</v>
      </c>
      <c r="L300" s="268"/>
      <c r="M300" s="268"/>
      <c r="N300" s="268">
        <v>186</v>
      </c>
    </row>
    <row r="301" spans="3:14" ht="14.25">
      <c r="C301" s="267"/>
      <c r="L301" s="268"/>
      <c r="M301" s="268"/>
      <c r="N301" s="268"/>
    </row>
    <row r="302" spans="2:14" s="302" customFormat="1" ht="14.25">
      <c r="B302" s="303" t="s">
        <v>1324</v>
      </c>
      <c r="C302" s="303" t="s">
        <v>576</v>
      </c>
      <c r="L302" s="304"/>
      <c r="M302" s="304"/>
      <c r="N302" s="304">
        <f>SUM(N303:N307)</f>
        <v>-174</v>
      </c>
    </row>
    <row r="303" spans="3:14" s="283" customFormat="1" ht="14.25">
      <c r="C303" s="284" t="s">
        <v>997</v>
      </c>
      <c r="D303" s="283" t="s">
        <v>1263</v>
      </c>
      <c r="L303" s="285"/>
      <c r="M303" s="285"/>
      <c r="N303" s="285">
        <v>-300</v>
      </c>
    </row>
    <row r="304" spans="3:14" s="283" customFormat="1" ht="14.25">
      <c r="C304" s="284"/>
      <c r="D304" s="283" t="s">
        <v>1326</v>
      </c>
      <c r="L304" s="285"/>
      <c r="M304" s="285"/>
      <c r="N304" s="285"/>
    </row>
    <row r="305" spans="3:14" s="283" customFormat="1" ht="14.25">
      <c r="C305" s="284" t="s">
        <v>997</v>
      </c>
      <c r="D305" s="283" t="s">
        <v>1264</v>
      </c>
      <c r="L305" s="285"/>
      <c r="M305" s="285"/>
      <c r="N305" s="285">
        <v>-89</v>
      </c>
    </row>
    <row r="306" spans="3:14" s="283" customFormat="1" ht="14.25">
      <c r="C306" s="284"/>
      <c r="D306" s="283" t="s">
        <v>1265</v>
      </c>
      <c r="L306" s="285"/>
      <c r="M306" s="285"/>
      <c r="N306" s="285"/>
    </row>
    <row r="307" spans="3:14" s="283" customFormat="1" ht="14.25">
      <c r="C307" s="284" t="s">
        <v>997</v>
      </c>
      <c r="D307" s="283" t="s">
        <v>1220</v>
      </c>
      <c r="L307" s="285"/>
      <c r="M307" s="285"/>
      <c r="N307" s="285">
        <v>215</v>
      </c>
    </row>
    <row r="308" spans="3:14" s="283" customFormat="1" ht="14.25">
      <c r="C308" s="284"/>
      <c r="L308" s="285"/>
      <c r="M308" s="285"/>
      <c r="N308" s="285"/>
    </row>
    <row r="309" spans="2:14" s="302" customFormat="1" ht="14.25">
      <c r="B309" s="303" t="s">
        <v>1325</v>
      </c>
      <c r="C309" s="303" t="s">
        <v>216</v>
      </c>
      <c r="L309" s="304"/>
      <c r="M309" s="304"/>
      <c r="N309" s="304">
        <f>SUM(N311:N312)</f>
        <v>389</v>
      </c>
    </row>
    <row r="310" spans="3:13" s="283" customFormat="1" ht="14.25">
      <c r="C310" s="284" t="s">
        <v>997</v>
      </c>
      <c r="D310" s="283" t="s">
        <v>1145</v>
      </c>
      <c r="L310" s="285"/>
      <c r="M310" s="285"/>
    </row>
    <row r="311" spans="3:14" s="283" customFormat="1" ht="14.25">
      <c r="C311" s="284"/>
      <c r="D311" s="283" t="s">
        <v>1146</v>
      </c>
      <c r="L311" s="285"/>
      <c r="M311" s="285"/>
      <c r="N311" s="285">
        <v>300</v>
      </c>
    </row>
    <row r="312" spans="3:14" s="283" customFormat="1" ht="14.25">
      <c r="C312" s="284" t="s">
        <v>997</v>
      </c>
      <c r="D312" s="283" t="s">
        <v>1266</v>
      </c>
      <c r="L312" s="285"/>
      <c r="M312" s="285"/>
      <c r="N312" s="285">
        <v>89</v>
      </c>
    </row>
    <row r="313" spans="3:14" s="283" customFormat="1" ht="14.25">
      <c r="C313" s="284"/>
      <c r="D313" s="283" t="s">
        <v>1267</v>
      </c>
      <c r="L313" s="285"/>
      <c r="M313" s="285"/>
      <c r="N313" s="285"/>
    </row>
    <row r="314" spans="3:14" ht="14.25">
      <c r="C314" s="267"/>
      <c r="L314" s="268"/>
      <c r="M314" s="268"/>
      <c r="N314" s="268"/>
    </row>
    <row r="315" spans="1:14" s="62" customFormat="1" ht="14.25">
      <c r="A315" s="62" t="s">
        <v>42</v>
      </c>
      <c r="B315" s="62" t="s">
        <v>1071</v>
      </c>
      <c r="L315" s="277"/>
      <c r="M315" s="277"/>
      <c r="N315" s="277">
        <f>SUM(N317)</f>
        <v>7736</v>
      </c>
    </row>
    <row r="316" spans="12:14" ht="14.25">
      <c r="L316" s="268"/>
      <c r="M316" s="268"/>
      <c r="N316" s="268"/>
    </row>
    <row r="317" spans="2:14" s="278" customFormat="1" ht="14.25">
      <c r="B317" s="281" t="s">
        <v>1211</v>
      </c>
      <c r="C317" s="278" t="s">
        <v>711</v>
      </c>
      <c r="L317" s="280"/>
      <c r="M317" s="280"/>
      <c r="N317" s="280">
        <f>SUM(N319)</f>
        <v>7736</v>
      </c>
    </row>
    <row r="318" spans="2:14" ht="14.25">
      <c r="B318" s="266"/>
      <c r="C318" s="267" t="s">
        <v>997</v>
      </c>
      <c r="D318" s="61" t="s">
        <v>1053</v>
      </c>
      <c r="L318" s="268"/>
      <c r="M318" s="268"/>
      <c r="N318" s="268"/>
    </row>
    <row r="319" spans="2:14" ht="14.25">
      <c r="B319" s="266"/>
      <c r="C319" s="267"/>
      <c r="D319" s="61" t="s">
        <v>1054</v>
      </c>
      <c r="L319" s="268"/>
      <c r="M319" s="268"/>
      <c r="N319" s="268">
        <v>7736</v>
      </c>
    </row>
    <row r="320" spans="3:14" ht="14.25">
      <c r="C320" s="267"/>
      <c r="L320" s="268"/>
      <c r="M320" s="268"/>
      <c r="N320" s="268"/>
    </row>
    <row r="321" spans="1:14" s="62" customFormat="1" ht="14.25">
      <c r="A321" s="62" t="s">
        <v>44</v>
      </c>
      <c r="B321" s="62" t="s">
        <v>1070</v>
      </c>
      <c r="L321" s="277"/>
      <c r="M321" s="277"/>
      <c r="N321" s="277">
        <f>SUM(N323)</f>
        <v>15150</v>
      </c>
    </row>
    <row r="322" spans="12:14" ht="14.25">
      <c r="L322" s="268"/>
      <c r="M322" s="268"/>
      <c r="N322" s="268"/>
    </row>
    <row r="323" spans="2:14" s="278" customFormat="1" ht="14.25">
      <c r="B323" s="281" t="s">
        <v>1212</v>
      </c>
      <c r="C323" s="278" t="s">
        <v>716</v>
      </c>
      <c r="L323" s="280"/>
      <c r="M323" s="280"/>
      <c r="N323" s="280">
        <f>SUM(N325)</f>
        <v>15150</v>
      </c>
    </row>
    <row r="324" spans="3:14" ht="14.25">
      <c r="C324" s="267" t="s">
        <v>997</v>
      </c>
      <c r="D324" s="61" t="s">
        <v>1056</v>
      </c>
      <c r="L324" s="268"/>
      <c r="M324" s="268"/>
      <c r="N324" s="268"/>
    </row>
    <row r="325" spans="4:14" ht="14.25">
      <c r="D325" s="61" t="s">
        <v>1268</v>
      </c>
      <c r="L325" s="268"/>
      <c r="M325" s="268"/>
      <c r="N325" s="268">
        <v>15150</v>
      </c>
    </row>
    <row r="326" spans="4:14" ht="14.25">
      <c r="D326" s="61" t="s">
        <v>1327</v>
      </c>
      <c r="L326" s="268"/>
      <c r="M326" s="268"/>
      <c r="N326" s="268"/>
    </row>
    <row r="327" spans="12:14" ht="14.25">
      <c r="L327" s="268"/>
      <c r="M327" s="268"/>
      <c r="N327" s="268"/>
    </row>
    <row r="328" spans="1:14" s="62" customFormat="1" ht="14.25">
      <c r="A328" s="62" t="s">
        <v>45</v>
      </c>
      <c r="B328" s="62" t="s">
        <v>1148</v>
      </c>
      <c r="L328" s="277"/>
      <c r="M328" s="277"/>
      <c r="N328" s="277">
        <f>SUM(N330)</f>
        <v>70</v>
      </c>
    </row>
    <row r="329" spans="12:14" ht="14.25">
      <c r="L329" s="268"/>
      <c r="M329" s="268"/>
      <c r="N329" s="268"/>
    </row>
    <row r="330" spans="2:14" s="302" customFormat="1" ht="14.25">
      <c r="B330" s="303" t="s">
        <v>1213</v>
      </c>
      <c r="C330" s="302" t="s">
        <v>711</v>
      </c>
      <c r="L330" s="304"/>
      <c r="M330" s="304"/>
      <c r="N330" s="304">
        <f>SUM(N332:N333)</f>
        <v>70</v>
      </c>
    </row>
    <row r="331" spans="3:14" s="283" customFormat="1" ht="14.25">
      <c r="C331" s="284" t="s">
        <v>997</v>
      </c>
      <c r="D331" s="283" t="s">
        <v>1149</v>
      </c>
      <c r="L331" s="285"/>
      <c r="M331" s="285"/>
      <c r="N331" s="285"/>
    </row>
    <row r="332" spans="4:14" s="283" customFormat="1" ht="14.25">
      <c r="D332" s="283" t="s">
        <v>1150</v>
      </c>
      <c r="L332" s="285"/>
      <c r="M332" s="285"/>
      <c r="N332" s="285">
        <v>100</v>
      </c>
    </row>
    <row r="333" spans="3:14" s="283" customFormat="1" ht="14.25">
      <c r="C333" s="284" t="s">
        <v>997</v>
      </c>
      <c r="D333" s="283" t="s">
        <v>1269</v>
      </c>
      <c r="L333" s="285"/>
      <c r="M333" s="285"/>
      <c r="N333" s="285">
        <v>-30</v>
      </c>
    </row>
    <row r="334" spans="3:14" s="283" customFormat="1" ht="14.25">
      <c r="C334" s="284"/>
      <c r="D334" s="283" t="s">
        <v>1270</v>
      </c>
      <c r="L334" s="285"/>
      <c r="M334" s="285"/>
      <c r="N334" s="285"/>
    </row>
    <row r="335" spans="12:14" ht="14.25">
      <c r="L335" s="268"/>
      <c r="M335" s="268"/>
      <c r="N335" s="268"/>
    </row>
    <row r="336" spans="1:14" s="62" customFormat="1" ht="14.25">
      <c r="A336" s="62" t="s">
        <v>46</v>
      </c>
      <c r="B336" s="62" t="s">
        <v>1215</v>
      </c>
      <c r="L336" s="277"/>
      <c r="M336" s="277"/>
      <c r="N336" s="277">
        <f>SUM(N338)</f>
        <v>1000</v>
      </c>
    </row>
    <row r="337" spans="12:14" ht="14.25">
      <c r="L337" s="268"/>
      <c r="M337" s="268"/>
      <c r="N337" s="268"/>
    </row>
    <row r="338" spans="2:14" s="302" customFormat="1" ht="14.25">
      <c r="B338" s="303" t="s">
        <v>1214</v>
      </c>
      <c r="C338" s="302" t="s">
        <v>1141</v>
      </c>
      <c r="L338" s="304"/>
      <c r="M338" s="304"/>
      <c r="N338" s="304">
        <f>SUM(N339)</f>
        <v>1000</v>
      </c>
    </row>
    <row r="339" spans="3:14" s="283" customFormat="1" ht="14.25">
      <c r="C339" s="284" t="s">
        <v>997</v>
      </c>
      <c r="D339" s="283" t="s">
        <v>1217</v>
      </c>
      <c r="L339" s="285"/>
      <c r="M339" s="285"/>
      <c r="N339" s="285">
        <v>1000</v>
      </c>
    </row>
    <row r="340" spans="12:14" ht="14.25">
      <c r="L340" s="268"/>
      <c r="M340" s="268"/>
      <c r="N340" s="268"/>
    </row>
    <row r="341" spans="1:14" s="62" customFormat="1" ht="14.25">
      <c r="A341" s="62" t="s">
        <v>48</v>
      </c>
      <c r="B341" s="62" t="s">
        <v>1057</v>
      </c>
      <c r="L341" s="277"/>
      <c r="M341" s="277"/>
      <c r="N341" s="277">
        <f>SUM(N343,N359,N379)</f>
        <v>53168</v>
      </c>
    </row>
    <row r="342" spans="12:14" ht="14.25">
      <c r="L342" s="268"/>
      <c r="M342" s="268"/>
      <c r="N342" s="268"/>
    </row>
    <row r="343" spans="2:14" s="278" customFormat="1" ht="14.25">
      <c r="B343" s="281" t="s">
        <v>1216</v>
      </c>
      <c r="C343" s="278" t="s">
        <v>709</v>
      </c>
      <c r="L343" s="280"/>
      <c r="M343" s="280"/>
      <c r="N343" s="280">
        <f>SUM(N344:N357)</f>
        <v>-32682</v>
      </c>
    </row>
    <row r="344" spans="3:14" ht="14.25">
      <c r="C344" s="267" t="s">
        <v>997</v>
      </c>
      <c r="D344" s="61" t="s">
        <v>1059</v>
      </c>
      <c r="L344" s="268"/>
      <c r="M344" s="268"/>
      <c r="N344" s="268">
        <v>-4234</v>
      </c>
    </row>
    <row r="345" spans="3:14" ht="14.25">
      <c r="C345" s="267" t="s">
        <v>997</v>
      </c>
      <c r="D345" s="61" t="s">
        <v>1060</v>
      </c>
      <c r="L345" s="268"/>
      <c r="M345" s="268"/>
      <c r="N345" s="268">
        <v>-8000</v>
      </c>
    </row>
    <row r="346" spans="3:14" ht="14.25">
      <c r="C346" s="267" t="s">
        <v>997</v>
      </c>
      <c r="D346" s="61" t="s">
        <v>1289</v>
      </c>
      <c r="L346" s="268"/>
      <c r="M346" s="268"/>
      <c r="N346" s="268"/>
    </row>
    <row r="347" spans="3:14" ht="14.25">
      <c r="C347" s="267"/>
      <c r="D347" s="61" t="s">
        <v>1286</v>
      </c>
      <c r="L347" s="268"/>
      <c r="M347" s="268"/>
      <c r="N347" s="268"/>
    </row>
    <row r="348" spans="3:13" ht="14.25">
      <c r="C348" s="267"/>
      <c r="D348" s="61" t="s">
        <v>1287</v>
      </c>
      <c r="L348" s="268"/>
      <c r="M348" s="268"/>
    </row>
    <row r="349" spans="3:14" ht="14.25">
      <c r="C349" s="267"/>
      <c r="D349" s="61" t="s">
        <v>1288</v>
      </c>
      <c r="L349" s="268"/>
      <c r="M349" s="268"/>
      <c r="N349" s="268"/>
    </row>
    <row r="350" spans="3:14" ht="14.25">
      <c r="C350" s="267"/>
      <c r="D350" s="61" t="s">
        <v>1328</v>
      </c>
      <c r="L350" s="268"/>
      <c r="M350" s="268"/>
      <c r="N350" s="268"/>
    </row>
    <row r="351" spans="3:14" ht="14.25">
      <c r="C351" s="267"/>
      <c r="D351" s="61" t="s">
        <v>1271</v>
      </c>
      <c r="L351" s="268"/>
      <c r="M351" s="268"/>
      <c r="N351" s="268">
        <v>-10000</v>
      </c>
    </row>
    <row r="352" spans="2:14" ht="14.25">
      <c r="B352" s="266"/>
      <c r="C352" s="267" t="s">
        <v>997</v>
      </c>
      <c r="D352" s="61" t="s">
        <v>1018</v>
      </c>
      <c r="L352" s="268"/>
      <c r="M352" s="268"/>
      <c r="N352" s="268"/>
    </row>
    <row r="353" spans="2:14" ht="14.25">
      <c r="B353" s="266"/>
      <c r="C353" s="267"/>
      <c r="D353" s="61" t="s">
        <v>1019</v>
      </c>
      <c r="L353" s="268"/>
      <c r="M353" s="268"/>
      <c r="N353" s="268"/>
    </row>
    <row r="354" spans="2:14" ht="14.25">
      <c r="B354" s="266"/>
      <c r="C354" s="267"/>
      <c r="D354" s="61" t="s">
        <v>1061</v>
      </c>
      <c r="L354" s="268"/>
      <c r="M354" s="268"/>
      <c r="N354" s="268">
        <v>-9500</v>
      </c>
    </row>
    <row r="355" spans="2:14" s="283" customFormat="1" ht="14.25">
      <c r="B355" s="305"/>
      <c r="C355" s="284" t="s">
        <v>997</v>
      </c>
      <c r="D355" s="283" t="s">
        <v>874</v>
      </c>
      <c r="L355" s="285"/>
      <c r="M355" s="285"/>
      <c r="N355" s="285"/>
    </row>
    <row r="356" spans="2:14" s="283" customFormat="1" ht="14.25">
      <c r="B356" s="305"/>
      <c r="C356" s="284"/>
      <c r="D356" s="284" t="s">
        <v>999</v>
      </c>
      <c r="E356" s="283" t="s">
        <v>1157</v>
      </c>
      <c r="L356" s="285"/>
      <c r="M356" s="285"/>
      <c r="N356" s="285">
        <v>-280</v>
      </c>
    </row>
    <row r="357" spans="2:14" s="283" customFormat="1" ht="14.25">
      <c r="B357" s="305"/>
      <c r="C357" s="284"/>
      <c r="D357" s="284" t="s">
        <v>999</v>
      </c>
      <c r="E357" s="283" t="s">
        <v>1155</v>
      </c>
      <c r="L357" s="285"/>
      <c r="M357" s="285"/>
      <c r="N357" s="285">
        <v>-668</v>
      </c>
    </row>
    <row r="358" spans="2:14" ht="14.25">
      <c r="B358" s="266"/>
      <c r="C358" s="267"/>
      <c r="L358" s="268"/>
      <c r="M358" s="268"/>
      <c r="N358" s="268"/>
    </row>
    <row r="359" spans="2:14" s="278" customFormat="1" ht="14.25">
      <c r="B359" s="281" t="s">
        <v>1350</v>
      </c>
      <c r="C359" s="278" t="s">
        <v>224</v>
      </c>
      <c r="L359" s="280"/>
      <c r="M359" s="280"/>
      <c r="N359" s="280">
        <f>SUM(N364:N377)</f>
        <v>97375</v>
      </c>
    </row>
    <row r="360" spans="2:14" ht="14.25">
      <c r="B360" s="267"/>
      <c r="C360" s="267" t="s">
        <v>997</v>
      </c>
      <c r="D360" s="61" t="s">
        <v>1291</v>
      </c>
      <c r="L360" s="268"/>
      <c r="M360" s="268"/>
      <c r="N360" s="268"/>
    </row>
    <row r="361" spans="2:14" ht="14.25">
      <c r="B361" s="267"/>
      <c r="D361" s="61" t="s">
        <v>1292</v>
      </c>
      <c r="L361" s="268"/>
      <c r="M361" s="268"/>
      <c r="N361" s="268"/>
    </row>
    <row r="362" spans="2:14" ht="14.25">
      <c r="B362" s="266"/>
      <c r="C362" s="267"/>
      <c r="D362" s="61" t="s">
        <v>1293</v>
      </c>
      <c r="L362" s="268"/>
      <c r="M362" s="268"/>
      <c r="N362" s="268"/>
    </row>
    <row r="363" spans="2:14" ht="14.25">
      <c r="B363" s="266"/>
      <c r="C363" s="267"/>
      <c r="D363" s="61" t="s">
        <v>1294</v>
      </c>
      <c r="L363" s="268"/>
      <c r="M363" s="268"/>
      <c r="N363" s="268"/>
    </row>
    <row r="364" spans="4:14" ht="14.25">
      <c r="D364" s="61" t="s">
        <v>1062</v>
      </c>
      <c r="L364" s="268"/>
      <c r="M364" s="268"/>
      <c r="N364" s="268">
        <v>-30000</v>
      </c>
    </row>
    <row r="365" spans="3:14" ht="14.25">
      <c r="C365" s="267" t="s">
        <v>997</v>
      </c>
      <c r="D365" s="61" t="s">
        <v>1289</v>
      </c>
      <c r="L365" s="268"/>
      <c r="M365" s="268"/>
      <c r="N365" s="268"/>
    </row>
    <row r="366" spans="3:14" ht="14.25">
      <c r="C366" s="267"/>
      <c r="D366" s="61" t="s">
        <v>1286</v>
      </c>
      <c r="L366" s="268"/>
      <c r="M366" s="268"/>
      <c r="N366" s="268"/>
    </row>
    <row r="367" spans="3:13" ht="14.25">
      <c r="C367" s="267"/>
      <c r="D367" s="61" t="s">
        <v>1287</v>
      </c>
      <c r="L367" s="268"/>
      <c r="M367" s="268"/>
    </row>
    <row r="368" spans="3:14" ht="14.25">
      <c r="C368" s="267"/>
      <c r="D368" s="61" t="s">
        <v>1288</v>
      </c>
      <c r="L368" s="268"/>
      <c r="M368" s="268"/>
      <c r="N368" s="268"/>
    </row>
    <row r="369" spans="3:14" ht="14.25">
      <c r="C369" s="267"/>
      <c r="D369" s="61" t="s">
        <v>1329</v>
      </c>
      <c r="L369" s="268"/>
      <c r="M369" s="268"/>
      <c r="N369" s="268"/>
    </row>
    <row r="370" spans="3:14" ht="14.25">
      <c r="C370" s="267"/>
      <c r="D370" s="61" t="s">
        <v>1330</v>
      </c>
      <c r="L370" s="268"/>
      <c r="M370" s="268"/>
      <c r="N370" s="268">
        <v>-8641</v>
      </c>
    </row>
    <row r="371" spans="2:14" ht="14.25">
      <c r="B371" s="266"/>
      <c r="C371" s="267" t="s">
        <v>997</v>
      </c>
      <c r="D371" s="61" t="s">
        <v>1056</v>
      </c>
      <c r="L371" s="268"/>
      <c r="M371" s="268"/>
      <c r="N371" s="268"/>
    </row>
    <row r="372" spans="2:14" ht="14.25">
      <c r="B372" s="266"/>
      <c r="C372" s="267"/>
      <c r="D372" s="61" t="s">
        <v>1272</v>
      </c>
      <c r="L372" s="268"/>
      <c r="M372" s="268"/>
      <c r="N372" s="268">
        <v>-15150</v>
      </c>
    </row>
    <row r="373" spans="2:14" ht="14.25">
      <c r="B373" s="266"/>
      <c r="C373" s="267"/>
      <c r="D373" s="61" t="s">
        <v>1273</v>
      </c>
      <c r="L373" s="268"/>
      <c r="M373" s="268"/>
      <c r="N373" s="268"/>
    </row>
    <row r="374" spans="2:14" ht="14.25">
      <c r="B374" s="266"/>
      <c r="C374" s="267" t="s">
        <v>997</v>
      </c>
      <c r="D374" s="306" t="s">
        <v>1331</v>
      </c>
      <c r="L374" s="268"/>
      <c r="M374" s="268"/>
      <c r="N374" s="268"/>
    </row>
    <row r="375" spans="2:14" ht="14.25">
      <c r="B375" s="266"/>
      <c r="C375" s="267"/>
      <c r="D375" s="306" t="s">
        <v>1332</v>
      </c>
      <c r="L375" s="268"/>
      <c r="M375" s="268"/>
      <c r="N375" s="268"/>
    </row>
    <row r="376" spans="2:14" ht="14.25">
      <c r="B376" s="266"/>
      <c r="C376" s="267"/>
      <c r="D376" s="306" t="s">
        <v>1333</v>
      </c>
      <c r="L376" s="268"/>
      <c r="M376" s="268"/>
      <c r="N376" s="268">
        <v>19166</v>
      </c>
    </row>
    <row r="377" spans="2:14" ht="14.25">
      <c r="B377" s="266"/>
      <c r="C377" s="267" t="s">
        <v>997</v>
      </c>
      <c r="D377" s="61" t="s">
        <v>1334</v>
      </c>
      <c r="L377" s="268"/>
      <c r="M377" s="268"/>
      <c r="N377" s="268">
        <v>132000</v>
      </c>
    </row>
    <row r="378" spans="2:14" ht="14.25">
      <c r="B378" s="266"/>
      <c r="C378" s="267"/>
      <c r="L378" s="268"/>
      <c r="M378" s="268"/>
      <c r="N378" s="268"/>
    </row>
    <row r="379" spans="2:14" s="278" customFormat="1" ht="14.25">
      <c r="B379" s="281" t="s">
        <v>1351</v>
      </c>
      <c r="C379" s="278" t="s">
        <v>1063</v>
      </c>
      <c r="L379" s="280"/>
      <c r="M379" s="280"/>
      <c r="N379" s="280">
        <f>SUM(N380:N394)</f>
        <v>-11525</v>
      </c>
    </row>
    <row r="380" spans="2:14" ht="14.25">
      <c r="B380" s="267"/>
      <c r="C380" s="267" t="s">
        <v>997</v>
      </c>
      <c r="D380" s="61" t="s">
        <v>1335</v>
      </c>
      <c r="L380" s="268"/>
      <c r="M380" s="268"/>
      <c r="N380" s="268"/>
    </row>
    <row r="381" spans="2:14" ht="14.25">
      <c r="B381" s="267"/>
      <c r="C381" s="267"/>
      <c r="D381" s="61" t="s">
        <v>1336</v>
      </c>
      <c r="L381" s="268"/>
      <c r="M381" s="268"/>
      <c r="N381" s="268">
        <v>-2700</v>
      </c>
    </row>
    <row r="382" spans="2:14" ht="14.25">
      <c r="B382" s="266"/>
      <c r="C382" s="267" t="s">
        <v>997</v>
      </c>
      <c r="D382" s="61" t="s">
        <v>1053</v>
      </c>
      <c r="L382" s="268"/>
      <c r="M382" s="268"/>
      <c r="N382" s="268"/>
    </row>
    <row r="383" spans="2:14" ht="14.25">
      <c r="B383" s="266"/>
      <c r="C383" s="267"/>
      <c r="D383" s="61" t="s">
        <v>1064</v>
      </c>
      <c r="L383" s="268"/>
      <c r="M383" s="268"/>
      <c r="N383" s="268">
        <v>-7736</v>
      </c>
    </row>
    <row r="384" spans="2:14" ht="14.25">
      <c r="B384" s="266"/>
      <c r="C384" s="267" t="s">
        <v>997</v>
      </c>
      <c r="D384" s="61" t="s">
        <v>1342</v>
      </c>
      <c r="L384" s="268"/>
      <c r="M384" s="268"/>
      <c r="N384" s="268"/>
    </row>
    <row r="385" spans="2:14" ht="14.25">
      <c r="B385" s="266"/>
      <c r="C385" s="267"/>
      <c r="D385" s="61" t="s">
        <v>1343</v>
      </c>
      <c r="L385" s="268"/>
      <c r="M385" s="268"/>
      <c r="N385" s="268">
        <v>-8000</v>
      </c>
    </row>
    <row r="386" spans="2:14" ht="14.25">
      <c r="B386" s="266"/>
      <c r="C386" s="267" t="s">
        <v>997</v>
      </c>
      <c r="D386" s="61" t="s">
        <v>1337</v>
      </c>
      <c r="L386" s="268"/>
      <c r="M386" s="268"/>
      <c r="N386" s="268"/>
    </row>
    <row r="387" spans="2:14" ht="14.25">
      <c r="B387" s="266"/>
      <c r="C387" s="267"/>
      <c r="D387" s="61" t="s">
        <v>1338</v>
      </c>
      <c r="L387" s="268"/>
      <c r="M387" s="268"/>
      <c r="N387" s="268"/>
    </row>
    <row r="388" spans="2:14" ht="14.25">
      <c r="B388" s="266"/>
      <c r="C388" s="267"/>
      <c r="D388" s="61" t="s">
        <v>1339</v>
      </c>
      <c r="L388" s="268"/>
      <c r="M388" s="268"/>
      <c r="N388" s="268"/>
    </row>
    <row r="389" spans="2:14" ht="14.25">
      <c r="B389" s="266"/>
      <c r="C389" s="267"/>
      <c r="D389" s="61" t="s">
        <v>1340</v>
      </c>
      <c r="L389" s="268"/>
      <c r="M389" s="268"/>
      <c r="N389" s="268"/>
    </row>
    <row r="390" spans="2:14" ht="14.25">
      <c r="B390" s="266"/>
      <c r="C390" s="267"/>
      <c r="D390" s="61" t="s">
        <v>1341</v>
      </c>
      <c r="L390" s="268"/>
      <c r="M390" s="268"/>
      <c r="N390" s="268">
        <v>-850</v>
      </c>
    </row>
    <row r="391" spans="2:14" s="283" customFormat="1" ht="14.25">
      <c r="B391" s="305"/>
      <c r="C391" s="284" t="s">
        <v>997</v>
      </c>
      <c r="D391" s="283" t="s">
        <v>1147</v>
      </c>
      <c r="L391" s="285"/>
      <c r="M391" s="285"/>
      <c r="N391" s="285">
        <v>-100</v>
      </c>
    </row>
    <row r="392" spans="2:14" s="283" customFormat="1" ht="14.25">
      <c r="B392" s="305"/>
      <c r="C392" s="284" t="s">
        <v>997</v>
      </c>
      <c r="D392" s="283" t="s">
        <v>1151</v>
      </c>
      <c r="L392" s="285"/>
      <c r="M392" s="285"/>
      <c r="N392" s="285">
        <v>-139</v>
      </c>
    </row>
    <row r="393" spans="2:14" s="283" customFormat="1" ht="14.25">
      <c r="B393" s="305"/>
      <c r="C393" s="284" t="s">
        <v>997</v>
      </c>
      <c r="D393" s="283" t="s">
        <v>1360</v>
      </c>
      <c r="L393" s="285"/>
      <c r="M393" s="285"/>
      <c r="N393" s="285"/>
    </row>
    <row r="394" spans="2:14" s="283" customFormat="1" ht="14.25">
      <c r="B394" s="305"/>
      <c r="C394" s="284"/>
      <c r="D394" s="283" t="s">
        <v>1361</v>
      </c>
      <c r="L394" s="285"/>
      <c r="M394" s="285"/>
      <c r="N394" s="285">
        <v>8000</v>
      </c>
    </row>
    <row r="395" spans="2:14" s="283" customFormat="1" ht="14.25">
      <c r="B395" s="305"/>
      <c r="C395" s="284"/>
      <c r="L395" s="285"/>
      <c r="M395" s="285"/>
      <c r="N395" s="285"/>
    </row>
    <row r="396" spans="1:14" ht="15.75">
      <c r="A396" s="157" t="s">
        <v>991</v>
      </c>
      <c r="L396" s="268"/>
      <c r="M396" s="268"/>
      <c r="N396" s="268"/>
    </row>
    <row r="397" spans="1:14" ht="15.75">
      <c r="A397" s="157" t="s">
        <v>992</v>
      </c>
      <c r="L397" s="268"/>
      <c r="M397" s="268"/>
      <c r="N397" s="268"/>
    </row>
    <row r="398" spans="12:14" ht="14.25">
      <c r="L398" s="268"/>
      <c r="M398" s="268"/>
      <c r="N398" s="268"/>
    </row>
    <row r="399" spans="1:14" s="62" customFormat="1" ht="14.25">
      <c r="A399" s="62" t="s">
        <v>20</v>
      </c>
      <c r="B399" s="62" t="s">
        <v>1137</v>
      </c>
      <c r="L399" s="277"/>
      <c r="M399" s="277"/>
      <c r="N399" s="277"/>
    </row>
    <row r="400" spans="2:14" s="62" customFormat="1" ht="14.25">
      <c r="B400" s="62" t="s">
        <v>1138</v>
      </c>
      <c r="L400" s="277">
        <f>SUM(L402)</f>
        <v>-1362</v>
      </c>
      <c r="M400" s="277"/>
      <c r="N400" s="277"/>
    </row>
    <row r="401" spans="12:14" ht="14.25">
      <c r="L401" s="268"/>
      <c r="M401" s="268"/>
      <c r="N401" s="268"/>
    </row>
    <row r="402" spans="2:14" s="278" customFormat="1" ht="14.25">
      <c r="B402" s="281" t="s">
        <v>995</v>
      </c>
      <c r="C402" s="278" t="s">
        <v>1065</v>
      </c>
      <c r="L402" s="280">
        <f>SUM(L403:L404)</f>
        <v>-1362</v>
      </c>
      <c r="M402" s="280"/>
      <c r="N402" s="280"/>
    </row>
    <row r="403" spans="2:14" ht="14.25">
      <c r="B403" s="267"/>
      <c r="C403" s="267" t="s">
        <v>997</v>
      </c>
      <c r="D403" s="61" t="s">
        <v>1066</v>
      </c>
      <c r="L403" s="268"/>
      <c r="M403" s="268"/>
      <c r="N403" s="268"/>
    </row>
    <row r="404" spans="4:14" ht="14.25">
      <c r="D404" s="61" t="s">
        <v>1067</v>
      </c>
      <c r="L404" s="268">
        <v>-1362</v>
      </c>
      <c r="M404" s="268"/>
      <c r="N404" s="268"/>
    </row>
    <row r="405" spans="12:14" ht="14.25">
      <c r="L405" s="268"/>
      <c r="M405" s="268"/>
      <c r="N405" s="268"/>
    </row>
    <row r="406" spans="1:14" s="62" customFormat="1" ht="14.25">
      <c r="A406" s="62" t="s">
        <v>21</v>
      </c>
      <c r="B406" s="62" t="s">
        <v>1274</v>
      </c>
      <c r="L406" s="277"/>
      <c r="M406" s="277"/>
      <c r="N406" s="277"/>
    </row>
    <row r="407" spans="2:14" s="62" customFormat="1" ht="14.25">
      <c r="B407" s="62" t="s">
        <v>1275</v>
      </c>
      <c r="L407" s="277">
        <f>SUM(L409)</f>
        <v>2290</v>
      </c>
      <c r="M407" s="277"/>
      <c r="N407" s="277"/>
    </row>
    <row r="408" spans="12:14" ht="14.25">
      <c r="L408" s="268"/>
      <c r="M408" s="268"/>
      <c r="N408" s="268"/>
    </row>
    <row r="409" spans="2:14" s="278" customFormat="1" ht="14.25">
      <c r="B409" s="281" t="s">
        <v>1013</v>
      </c>
      <c r="C409" s="278" t="s">
        <v>1065</v>
      </c>
      <c r="L409" s="280">
        <f>SUM(L410)</f>
        <v>2290</v>
      </c>
      <c r="M409" s="280"/>
      <c r="N409" s="280"/>
    </row>
    <row r="410" spans="3:14" ht="14.25">
      <c r="C410" s="267" t="s">
        <v>997</v>
      </c>
      <c r="D410" s="61" t="s">
        <v>1068</v>
      </c>
      <c r="L410" s="268">
        <v>2290</v>
      </c>
      <c r="M410" s="268"/>
      <c r="N410" s="268"/>
    </row>
    <row r="411" spans="12:14" ht="14.25">
      <c r="L411" s="268"/>
      <c r="M411" s="268"/>
      <c r="N411" s="268"/>
    </row>
    <row r="412" spans="1:14" s="62" customFormat="1" ht="14.25">
      <c r="A412" s="286" t="s">
        <v>22</v>
      </c>
      <c r="B412" s="286" t="s">
        <v>1030</v>
      </c>
      <c r="C412" s="286"/>
      <c r="D412" s="286"/>
      <c r="E412" s="286"/>
      <c r="F412" s="286"/>
      <c r="G412" s="286"/>
      <c r="H412" s="286"/>
      <c r="I412" s="286"/>
      <c r="J412" s="286"/>
      <c r="K412" s="286"/>
      <c r="L412" s="287">
        <f>SUM(L414)</f>
        <v>2002</v>
      </c>
      <c r="M412" s="287"/>
      <c r="N412" s="287"/>
    </row>
    <row r="413" spans="12:14" ht="14.25">
      <c r="L413" s="268"/>
      <c r="M413" s="268"/>
      <c r="N413" s="268"/>
    </row>
    <row r="414" spans="2:14" s="283" customFormat="1" ht="14.25">
      <c r="B414" s="284" t="s">
        <v>1015</v>
      </c>
      <c r="C414" s="283" t="s">
        <v>1080</v>
      </c>
      <c r="L414" s="285">
        <f>SUM(N419,N434,N441)-L402-L407</f>
        <v>2002</v>
      </c>
      <c r="M414" s="285"/>
      <c r="N414" s="285"/>
    </row>
    <row r="415" spans="12:14" ht="14.25">
      <c r="L415" s="268"/>
      <c r="M415" s="268"/>
      <c r="N415" s="268"/>
    </row>
    <row r="416" spans="1:14" ht="15.75">
      <c r="A416" s="157" t="s">
        <v>993</v>
      </c>
      <c r="L416" s="268"/>
      <c r="M416" s="268"/>
      <c r="N416" s="268"/>
    </row>
    <row r="417" spans="12:14" ht="14.25">
      <c r="L417" s="268"/>
      <c r="M417" s="268"/>
      <c r="N417" s="268"/>
    </row>
    <row r="418" spans="1:14" s="62" customFormat="1" ht="14.25">
      <c r="A418" s="62" t="s">
        <v>22</v>
      </c>
      <c r="B418" s="62" t="s">
        <v>1258</v>
      </c>
      <c r="L418" s="277"/>
      <c r="M418" s="277"/>
      <c r="N418" s="277"/>
    </row>
    <row r="419" spans="2:14" s="62" customFormat="1" ht="14.25">
      <c r="B419" s="62" t="s">
        <v>1259</v>
      </c>
      <c r="L419" s="277"/>
      <c r="M419" s="277"/>
      <c r="N419" s="277">
        <f>SUM(N421,N427,N430)</f>
        <v>-2015</v>
      </c>
    </row>
    <row r="420" spans="12:14" ht="14.25">
      <c r="L420" s="268"/>
      <c r="M420" s="268"/>
      <c r="N420" s="268"/>
    </row>
    <row r="421" spans="2:14" s="278" customFormat="1" ht="14.25">
      <c r="B421" s="281" t="s">
        <v>1015</v>
      </c>
      <c r="C421" s="278" t="s">
        <v>1072</v>
      </c>
      <c r="L421" s="280"/>
      <c r="M421" s="280"/>
      <c r="N421" s="280">
        <f>SUM(N422:N425)</f>
        <v>-2323</v>
      </c>
    </row>
    <row r="422" spans="3:14" ht="14.25">
      <c r="C422" s="267" t="s">
        <v>997</v>
      </c>
      <c r="D422" s="61" t="s">
        <v>1077</v>
      </c>
      <c r="L422" s="268"/>
      <c r="M422" s="268"/>
      <c r="N422" s="268"/>
    </row>
    <row r="423" spans="3:14" ht="14.25">
      <c r="C423" s="267"/>
      <c r="D423" s="267" t="s">
        <v>999</v>
      </c>
      <c r="E423" s="61" t="s">
        <v>1078</v>
      </c>
      <c r="L423" s="268"/>
      <c r="M423" s="268"/>
      <c r="N423" s="268">
        <v>-1895</v>
      </c>
    </row>
    <row r="424" spans="3:14" ht="14.25">
      <c r="C424" s="267"/>
      <c r="D424" s="267" t="s">
        <v>999</v>
      </c>
      <c r="E424" s="61" t="s">
        <v>1076</v>
      </c>
      <c r="L424" s="268"/>
      <c r="M424" s="268"/>
      <c r="N424" s="268">
        <v>276</v>
      </c>
    </row>
    <row r="425" spans="3:14" ht="14.25">
      <c r="C425" s="267"/>
      <c r="D425" s="267" t="s">
        <v>999</v>
      </c>
      <c r="E425" s="283" t="s">
        <v>1375</v>
      </c>
      <c r="L425" s="268"/>
      <c r="M425" s="268"/>
      <c r="N425" s="268">
        <v>-704</v>
      </c>
    </row>
    <row r="426" spans="3:14" ht="14.25">
      <c r="C426" s="267"/>
      <c r="D426" s="267"/>
      <c r="L426" s="268"/>
      <c r="M426" s="268"/>
      <c r="N426" s="268"/>
    </row>
    <row r="427" spans="2:14" s="278" customFormat="1" ht="14.25">
      <c r="B427" s="281" t="s">
        <v>1073</v>
      </c>
      <c r="C427" s="278" t="s">
        <v>708</v>
      </c>
      <c r="L427" s="280"/>
      <c r="M427" s="280"/>
      <c r="N427" s="280">
        <f>SUM(N428)</f>
        <v>1895</v>
      </c>
    </row>
    <row r="428" spans="3:14" ht="14.25">
      <c r="C428" s="267" t="s">
        <v>997</v>
      </c>
      <c r="D428" s="61" t="s">
        <v>1081</v>
      </c>
      <c r="L428" s="268"/>
      <c r="M428" s="268"/>
      <c r="N428" s="268">
        <v>1895</v>
      </c>
    </row>
    <row r="429" spans="3:14" ht="14.25">
      <c r="C429" s="267"/>
      <c r="L429" s="268"/>
      <c r="M429" s="268"/>
      <c r="N429" s="268"/>
    </row>
    <row r="430" spans="2:14" s="278" customFormat="1" ht="14.25">
      <c r="B430" s="281" t="s">
        <v>1074</v>
      </c>
      <c r="C430" s="278" t="s">
        <v>115</v>
      </c>
      <c r="L430" s="280"/>
      <c r="M430" s="280"/>
      <c r="N430" s="280">
        <f>SUM(N431:N432)</f>
        <v>-1587</v>
      </c>
    </row>
    <row r="431" spans="3:14" ht="14.25">
      <c r="C431" s="267" t="s">
        <v>997</v>
      </c>
      <c r="D431" s="61" t="s">
        <v>1075</v>
      </c>
      <c r="L431" s="268"/>
      <c r="M431" s="268"/>
      <c r="N431" s="268">
        <v>1022</v>
      </c>
    </row>
    <row r="432" spans="2:14" s="283" customFormat="1" ht="14.25">
      <c r="B432" s="284"/>
      <c r="C432" s="284" t="s">
        <v>997</v>
      </c>
      <c r="D432" s="283" t="s">
        <v>1374</v>
      </c>
      <c r="L432" s="285"/>
      <c r="M432" s="285"/>
      <c r="N432" s="285">
        <v>-2609</v>
      </c>
    </row>
    <row r="433" spans="2:14" s="283" customFormat="1" ht="14.25">
      <c r="B433" s="284"/>
      <c r="C433" s="284"/>
      <c r="L433" s="285"/>
      <c r="M433" s="285"/>
      <c r="N433" s="285"/>
    </row>
    <row r="434" spans="1:14" s="62" customFormat="1" ht="14.25">
      <c r="A434" s="62" t="s">
        <v>23</v>
      </c>
      <c r="B434" s="62" t="s">
        <v>1282</v>
      </c>
      <c r="L434" s="277"/>
      <c r="M434" s="277"/>
      <c r="N434" s="277">
        <f>SUM(N437)</f>
        <v>2655</v>
      </c>
    </row>
    <row r="435" spans="2:14" ht="15">
      <c r="B435" s="293" t="s">
        <v>1283</v>
      </c>
      <c r="L435" s="268"/>
      <c r="M435" s="268"/>
      <c r="N435" s="268"/>
    </row>
    <row r="436" spans="12:14" ht="14.25">
      <c r="L436" s="268"/>
      <c r="M436" s="268"/>
      <c r="N436" s="268"/>
    </row>
    <row r="437" spans="2:14" s="278" customFormat="1" ht="14.25">
      <c r="B437" s="281" t="s">
        <v>1016</v>
      </c>
      <c r="C437" s="278" t="s">
        <v>216</v>
      </c>
      <c r="L437" s="280"/>
      <c r="M437" s="280"/>
      <c r="N437" s="280">
        <f>SUM(N438)</f>
        <v>2655</v>
      </c>
    </row>
    <row r="438" spans="3:14" ht="14.25">
      <c r="C438" s="267" t="s">
        <v>997</v>
      </c>
      <c r="D438" s="61" t="s">
        <v>1352</v>
      </c>
      <c r="L438" s="268"/>
      <c r="M438" s="268"/>
      <c r="N438" s="268">
        <v>2655</v>
      </c>
    </row>
    <row r="439" spans="3:14" ht="14.25">
      <c r="C439" s="267"/>
      <c r="L439" s="268"/>
      <c r="M439" s="268"/>
      <c r="N439" s="268"/>
    </row>
    <row r="440" spans="1:14" s="62" customFormat="1" ht="14.25">
      <c r="A440" s="62" t="s">
        <v>24</v>
      </c>
      <c r="B440" s="62" t="s">
        <v>1276</v>
      </c>
      <c r="L440" s="277"/>
      <c r="M440" s="277"/>
      <c r="N440" s="277"/>
    </row>
    <row r="441" spans="2:14" s="62" customFormat="1" ht="14.25">
      <c r="B441" s="62" t="s">
        <v>1277</v>
      </c>
      <c r="L441" s="277"/>
      <c r="M441" s="277"/>
      <c r="N441" s="277">
        <f>SUM(N443,N447,N451)</f>
        <v>2290</v>
      </c>
    </row>
    <row r="442" spans="12:14" ht="14.25">
      <c r="L442" s="268"/>
      <c r="M442" s="268"/>
      <c r="N442" s="268"/>
    </row>
    <row r="443" spans="2:14" s="278" customFormat="1" ht="14.25">
      <c r="B443" s="281" t="s">
        <v>1021</v>
      </c>
      <c r="C443" s="278" t="s">
        <v>115</v>
      </c>
      <c r="L443" s="280"/>
      <c r="M443" s="280"/>
      <c r="N443" s="280">
        <f>SUM(N444)</f>
        <v>1829</v>
      </c>
    </row>
    <row r="444" spans="3:14" ht="14.25">
      <c r="C444" s="267" t="s">
        <v>997</v>
      </c>
      <c r="D444" s="61" t="s">
        <v>1278</v>
      </c>
      <c r="L444" s="268"/>
      <c r="M444" s="268"/>
      <c r="N444" s="268">
        <v>1829</v>
      </c>
    </row>
    <row r="445" spans="3:14" ht="14.25">
      <c r="C445" s="267"/>
      <c r="D445" s="61" t="s">
        <v>1279</v>
      </c>
      <c r="L445" s="268"/>
      <c r="M445" s="268"/>
      <c r="N445" s="268"/>
    </row>
    <row r="446" spans="3:14" ht="14.25">
      <c r="C446" s="267"/>
      <c r="L446" s="268"/>
      <c r="M446" s="268"/>
      <c r="N446" s="268"/>
    </row>
    <row r="447" spans="2:14" s="278" customFormat="1" ht="14.25">
      <c r="B447" s="281" t="s">
        <v>1178</v>
      </c>
      <c r="C447" s="278" t="s">
        <v>1051</v>
      </c>
      <c r="L447" s="280"/>
      <c r="M447" s="280"/>
      <c r="N447" s="280">
        <f>SUM(N449)</f>
        <v>442</v>
      </c>
    </row>
    <row r="448" spans="3:14" ht="14.25">
      <c r="C448" s="267" t="s">
        <v>997</v>
      </c>
      <c r="D448" s="61" t="s">
        <v>1280</v>
      </c>
      <c r="L448" s="268"/>
      <c r="M448" s="268"/>
      <c r="N448" s="268"/>
    </row>
    <row r="449" spans="4:14" ht="14.25">
      <c r="D449" s="61" t="s">
        <v>1281</v>
      </c>
      <c r="L449" s="268"/>
      <c r="M449" s="268"/>
      <c r="N449" s="268">
        <v>442</v>
      </c>
    </row>
    <row r="450" spans="12:14" ht="14.25">
      <c r="L450" s="268"/>
      <c r="M450" s="268"/>
      <c r="N450" s="268"/>
    </row>
    <row r="451" spans="2:14" s="278" customFormat="1" ht="14.25">
      <c r="B451" s="281" t="s">
        <v>1356</v>
      </c>
      <c r="C451" s="278" t="s">
        <v>576</v>
      </c>
      <c r="L451" s="280"/>
      <c r="M451" s="280"/>
      <c r="N451" s="280">
        <f>SUM(N452)</f>
        <v>19</v>
      </c>
    </row>
    <row r="452" spans="3:14" ht="14.25">
      <c r="C452" s="267" t="s">
        <v>997</v>
      </c>
      <c r="D452" s="61" t="s">
        <v>1079</v>
      </c>
      <c r="L452" s="268"/>
      <c r="M452" s="268"/>
      <c r="N452" s="268">
        <v>19</v>
      </c>
    </row>
    <row r="453" spans="12:14" ht="14.25">
      <c r="L453" s="268"/>
      <c r="M453" s="268"/>
      <c r="N453" s="268"/>
    </row>
    <row r="454" spans="1:14" ht="15.75">
      <c r="A454" s="157" t="s">
        <v>97</v>
      </c>
      <c r="L454" s="268"/>
      <c r="M454" s="268"/>
      <c r="N454" s="268"/>
    </row>
    <row r="455" spans="1:14" ht="15.75">
      <c r="A455" s="157" t="s">
        <v>992</v>
      </c>
      <c r="L455" s="291">
        <f>SUM(L457,L461)</f>
        <v>3581</v>
      </c>
      <c r="M455" s="268"/>
      <c r="N455" s="268"/>
    </row>
    <row r="456" spans="12:14" ht="14.25">
      <c r="L456" s="268"/>
      <c r="M456" s="268"/>
      <c r="N456" s="268"/>
    </row>
    <row r="457" spans="1:14" s="278" customFormat="1" ht="14.25">
      <c r="A457" s="278" t="s">
        <v>20</v>
      </c>
      <c r="B457" s="278" t="s">
        <v>1065</v>
      </c>
      <c r="L457" s="280">
        <f>SUM(L458:L459)</f>
        <v>3000</v>
      </c>
      <c r="M457" s="280"/>
      <c r="N457" s="280"/>
    </row>
    <row r="458" spans="2:14" ht="14.25">
      <c r="B458" s="267" t="s">
        <v>997</v>
      </c>
      <c r="C458" s="61" t="s">
        <v>1083</v>
      </c>
      <c r="L458" s="268">
        <v>2700</v>
      </c>
      <c r="M458" s="268"/>
      <c r="N458" s="268"/>
    </row>
    <row r="459" spans="2:14" ht="14.25">
      <c r="B459" s="267" t="s">
        <v>997</v>
      </c>
      <c r="C459" s="61" t="s">
        <v>1084</v>
      </c>
      <c r="L459" s="268">
        <v>300</v>
      </c>
      <c r="M459" s="268"/>
      <c r="N459" s="268"/>
    </row>
    <row r="460" spans="12:14" ht="14.25">
      <c r="L460" s="268"/>
      <c r="M460" s="268"/>
      <c r="N460" s="268"/>
    </row>
    <row r="461" spans="1:14" s="278" customFormat="1" ht="14.25">
      <c r="A461" s="278" t="s">
        <v>21</v>
      </c>
      <c r="B461" s="278" t="s">
        <v>1085</v>
      </c>
      <c r="L461" s="280">
        <f>SUM(L462)</f>
        <v>581</v>
      </c>
      <c r="M461" s="280"/>
      <c r="N461" s="280"/>
    </row>
    <row r="462" spans="2:14" ht="14.25">
      <c r="B462" s="267" t="s">
        <v>997</v>
      </c>
      <c r="C462" s="61" t="s">
        <v>1086</v>
      </c>
      <c r="L462" s="268">
        <v>581</v>
      </c>
      <c r="M462" s="268"/>
      <c r="N462" s="268"/>
    </row>
    <row r="463" spans="2:14" ht="14.25">
      <c r="B463" s="267"/>
      <c r="L463" s="268"/>
      <c r="M463" s="268"/>
      <c r="N463" s="268"/>
    </row>
    <row r="464" spans="1:14" s="278" customFormat="1" ht="14.25">
      <c r="A464" s="288" t="s">
        <v>22</v>
      </c>
      <c r="B464" s="289" t="s">
        <v>1087</v>
      </c>
      <c r="C464" s="288"/>
      <c r="D464" s="288"/>
      <c r="E464" s="288"/>
      <c r="F464" s="288"/>
      <c r="G464" s="288"/>
      <c r="H464" s="288"/>
      <c r="I464" s="288"/>
      <c r="J464" s="288"/>
      <c r="K464" s="288"/>
      <c r="L464" s="290">
        <v>3518</v>
      </c>
      <c r="M464" s="290"/>
      <c r="N464" s="290"/>
    </row>
    <row r="465" spans="2:14" ht="14.25">
      <c r="B465" s="267"/>
      <c r="L465" s="268"/>
      <c r="M465" s="268"/>
      <c r="N465" s="268"/>
    </row>
    <row r="466" spans="1:14" ht="15.75">
      <c r="A466" s="157" t="s">
        <v>993</v>
      </c>
      <c r="B466" s="267"/>
      <c r="L466" s="268"/>
      <c r="M466" s="268"/>
      <c r="N466" s="291">
        <f>SUM(N468,N472,N477,N480,N483)</f>
        <v>7099</v>
      </c>
    </row>
    <row r="467" spans="2:14" ht="14.25">
      <c r="B467" s="267"/>
      <c r="L467" s="268"/>
      <c r="M467" s="268"/>
      <c r="N467" s="268"/>
    </row>
    <row r="468" spans="1:14" s="278" customFormat="1" ht="14.25">
      <c r="A468" s="278" t="s">
        <v>23</v>
      </c>
      <c r="B468" s="281" t="s">
        <v>115</v>
      </c>
      <c r="L468" s="280"/>
      <c r="M468" s="280"/>
      <c r="N468" s="280">
        <f>SUM(N469:N470)</f>
        <v>1554</v>
      </c>
    </row>
    <row r="469" spans="2:14" ht="14.25">
      <c r="B469" s="267" t="s">
        <v>997</v>
      </c>
      <c r="C469" s="61" t="s">
        <v>1050</v>
      </c>
      <c r="L469" s="268"/>
      <c r="M469" s="268"/>
      <c r="N469" s="268">
        <v>611</v>
      </c>
    </row>
    <row r="470" spans="2:14" ht="14.25">
      <c r="B470" s="267" t="s">
        <v>997</v>
      </c>
      <c r="C470" s="61" t="s">
        <v>1088</v>
      </c>
      <c r="L470" s="268"/>
      <c r="M470" s="268"/>
      <c r="N470" s="268">
        <v>943</v>
      </c>
    </row>
    <row r="471" spans="2:14" ht="14.25">
      <c r="B471" s="267"/>
      <c r="L471" s="268"/>
      <c r="M471" s="268"/>
      <c r="N471" s="268"/>
    </row>
    <row r="472" spans="1:14" s="278" customFormat="1" ht="14.25">
      <c r="A472" s="278" t="s">
        <v>24</v>
      </c>
      <c r="B472" s="281" t="s">
        <v>1051</v>
      </c>
      <c r="L472" s="280"/>
      <c r="M472" s="280"/>
      <c r="N472" s="280">
        <f>SUM(N473:N475)</f>
        <v>-319</v>
      </c>
    </row>
    <row r="473" spans="2:14" ht="14.25">
      <c r="B473" s="267" t="s">
        <v>997</v>
      </c>
      <c r="C473" s="61" t="s">
        <v>1076</v>
      </c>
      <c r="L473" s="268"/>
      <c r="M473" s="268"/>
      <c r="N473" s="268">
        <v>165</v>
      </c>
    </row>
    <row r="474" spans="2:14" ht="14.25">
      <c r="B474" s="267" t="s">
        <v>997</v>
      </c>
      <c r="C474" s="61" t="s">
        <v>1089</v>
      </c>
      <c r="L474" s="268"/>
      <c r="M474" s="268"/>
      <c r="N474" s="268">
        <v>255</v>
      </c>
    </row>
    <row r="475" spans="2:14" ht="14.25">
      <c r="B475" s="267" t="s">
        <v>997</v>
      </c>
      <c r="C475" s="61" t="s">
        <v>1078</v>
      </c>
      <c r="L475" s="268"/>
      <c r="M475" s="268"/>
      <c r="N475" s="268">
        <v>-739</v>
      </c>
    </row>
    <row r="476" spans="2:14" ht="14.25">
      <c r="B476" s="267"/>
      <c r="L476" s="268"/>
      <c r="M476" s="268"/>
      <c r="N476" s="268"/>
    </row>
    <row r="477" spans="1:14" s="278" customFormat="1" ht="14.25">
      <c r="A477" s="278" t="s">
        <v>25</v>
      </c>
      <c r="B477" s="278" t="s">
        <v>708</v>
      </c>
      <c r="L477" s="280"/>
      <c r="M477" s="280"/>
      <c r="N477" s="280">
        <f>SUM(N478)</f>
        <v>739</v>
      </c>
    </row>
    <row r="478" spans="2:14" ht="14.25">
      <c r="B478" s="267" t="s">
        <v>997</v>
      </c>
      <c r="C478" s="61" t="s">
        <v>1082</v>
      </c>
      <c r="L478" s="268"/>
      <c r="M478" s="268"/>
      <c r="N478" s="268">
        <v>739</v>
      </c>
    </row>
    <row r="479" spans="12:14" ht="14.25">
      <c r="L479" s="268"/>
      <c r="M479" s="268"/>
      <c r="N479" s="268"/>
    </row>
    <row r="480" spans="1:14" s="278" customFormat="1" ht="14.25">
      <c r="A480" s="278" t="s">
        <v>26</v>
      </c>
      <c r="B480" s="278" t="s">
        <v>216</v>
      </c>
      <c r="L480" s="280"/>
      <c r="M480" s="280"/>
      <c r="N480" s="280">
        <f>SUM(N481)</f>
        <v>581</v>
      </c>
    </row>
    <row r="481" spans="2:14" ht="14.25">
      <c r="B481" s="267" t="s">
        <v>997</v>
      </c>
      <c r="C481" s="61" t="s">
        <v>1346</v>
      </c>
      <c r="L481" s="268"/>
      <c r="M481" s="268"/>
      <c r="N481" s="268">
        <v>581</v>
      </c>
    </row>
    <row r="482" spans="12:14" ht="14.25">
      <c r="L482" s="268"/>
      <c r="M482" s="268"/>
      <c r="N482" s="268"/>
    </row>
    <row r="483" spans="1:14" s="278" customFormat="1" ht="14.25">
      <c r="A483" s="278" t="s">
        <v>27</v>
      </c>
      <c r="B483" s="278" t="s">
        <v>576</v>
      </c>
      <c r="L483" s="280"/>
      <c r="M483" s="280"/>
      <c r="N483" s="280">
        <f>SUM(N484:N487)</f>
        <v>4544</v>
      </c>
    </row>
    <row r="484" spans="2:14" ht="14.25">
      <c r="B484" s="267" t="s">
        <v>997</v>
      </c>
      <c r="C484" s="61" t="s">
        <v>1090</v>
      </c>
      <c r="L484" s="268"/>
      <c r="M484" s="268"/>
      <c r="N484" s="268">
        <v>1235</v>
      </c>
    </row>
    <row r="485" spans="2:14" ht="14.25">
      <c r="B485" s="267" t="s">
        <v>997</v>
      </c>
      <c r="C485" s="61" t="s">
        <v>1091</v>
      </c>
      <c r="L485" s="268"/>
      <c r="M485" s="268"/>
      <c r="N485" s="268">
        <v>2700</v>
      </c>
    </row>
    <row r="486" spans="2:14" ht="14.25">
      <c r="B486" s="267" t="s">
        <v>997</v>
      </c>
      <c r="C486" s="61" t="s">
        <v>1029</v>
      </c>
      <c r="L486" s="268"/>
      <c r="M486" s="268"/>
      <c r="N486" s="268">
        <v>453</v>
      </c>
    </row>
    <row r="487" spans="2:14" ht="14.25">
      <c r="B487" s="267" t="s">
        <v>997</v>
      </c>
      <c r="C487" s="61" t="s">
        <v>1181</v>
      </c>
      <c r="L487" s="268"/>
      <c r="M487" s="268"/>
      <c r="N487" s="268">
        <v>156</v>
      </c>
    </row>
    <row r="488" spans="12:14" ht="14.25">
      <c r="L488" s="268"/>
      <c r="M488" s="268"/>
      <c r="N488" s="268"/>
    </row>
    <row r="489" spans="1:14" ht="15.75">
      <c r="A489" s="157" t="s">
        <v>869</v>
      </c>
      <c r="L489" s="268"/>
      <c r="M489" s="268"/>
      <c r="N489" s="268"/>
    </row>
    <row r="490" spans="1:14" ht="15.75">
      <c r="A490" s="157" t="s">
        <v>992</v>
      </c>
      <c r="L490" s="291"/>
      <c r="M490" s="268"/>
      <c r="N490" s="268"/>
    </row>
    <row r="491" spans="12:14" ht="14.25">
      <c r="L491" s="268"/>
      <c r="M491" s="268"/>
      <c r="N491" s="268"/>
    </row>
    <row r="492" spans="1:14" s="278" customFormat="1" ht="14.25">
      <c r="A492" s="288" t="s">
        <v>20</v>
      </c>
      <c r="B492" s="288" t="s">
        <v>1087</v>
      </c>
      <c r="C492" s="288"/>
      <c r="D492" s="288"/>
      <c r="E492" s="288"/>
      <c r="F492" s="288"/>
      <c r="G492" s="288"/>
      <c r="H492" s="288"/>
      <c r="I492" s="288"/>
      <c r="J492" s="288"/>
      <c r="K492" s="288"/>
      <c r="L492" s="290">
        <v>13225</v>
      </c>
      <c r="M492" s="290"/>
      <c r="N492" s="290"/>
    </row>
    <row r="493" spans="12:14" ht="14.25">
      <c r="L493" s="268"/>
      <c r="M493" s="268"/>
      <c r="N493" s="268"/>
    </row>
    <row r="494" spans="1:14" ht="15.75">
      <c r="A494" s="157" t="s">
        <v>993</v>
      </c>
      <c r="L494" s="268"/>
      <c r="M494" s="268"/>
      <c r="N494" s="291">
        <f>SUM(N496,N501,N507,N510,N512)</f>
        <v>13225</v>
      </c>
    </row>
    <row r="495" spans="12:14" ht="14.25">
      <c r="L495" s="268"/>
      <c r="M495" s="268"/>
      <c r="N495" s="268"/>
    </row>
    <row r="496" spans="1:14" s="278" customFormat="1" ht="14.25">
      <c r="A496" s="278" t="s">
        <v>21</v>
      </c>
      <c r="B496" s="278" t="s">
        <v>115</v>
      </c>
      <c r="L496" s="280"/>
      <c r="M496" s="280"/>
      <c r="N496" s="280">
        <f>SUM(N497:N499)</f>
        <v>5295</v>
      </c>
    </row>
    <row r="497" spans="2:14" ht="14.25">
      <c r="B497" s="267" t="s">
        <v>997</v>
      </c>
      <c r="C497" s="61" t="s">
        <v>1050</v>
      </c>
      <c r="L497" s="268"/>
      <c r="M497" s="268"/>
      <c r="N497" s="268">
        <v>2926</v>
      </c>
    </row>
    <row r="498" spans="2:14" ht="14.25">
      <c r="B498" s="267" t="s">
        <v>997</v>
      </c>
      <c r="C498" s="61" t="s">
        <v>1088</v>
      </c>
      <c r="L498" s="268"/>
      <c r="M498" s="268"/>
      <c r="N498" s="268">
        <v>2217</v>
      </c>
    </row>
    <row r="499" spans="2:14" ht="14.25">
      <c r="B499" s="267" t="s">
        <v>997</v>
      </c>
      <c r="C499" s="61" t="s">
        <v>1092</v>
      </c>
      <c r="L499" s="268"/>
      <c r="M499" s="268"/>
      <c r="N499" s="268">
        <v>152</v>
      </c>
    </row>
    <row r="500" spans="2:14" ht="14.25">
      <c r="B500" s="267"/>
      <c r="L500" s="268"/>
      <c r="M500" s="268"/>
      <c r="N500" s="268"/>
    </row>
    <row r="501" spans="1:14" s="278" customFormat="1" ht="14.25">
      <c r="A501" s="278" t="s">
        <v>22</v>
      </c>
      <c r="B501" s="281" t="s">
        <v>1051</v>
      </c>
      <c r="L501" s="280"/>
      <c r="M501" s="280"/>
      <c r="N501" s="280">
        <f>SUM(N502:N505)</f>
        <v>-5773</v>
      </c>
    </row>
    <row r="502" spans="2:14" ht="14.25">
      <c r="B502" s="267" t="s">
        <v>997</v>
      </c>
      <c r="C502" s="61" t="s">
        <v>1076</v>
      </c>
      <c r="L502" s="268"/>
      <c r="M502" s="268"/>
      <c r="N502" s="268">
        <v>790</v>
      </c>
    </row>
    <row r="503" spans="2:14" ht="14.25">
      <c r="B503" s="267" t="s">
        <v>997</v>
      </c>
      <c r="C503" s="61" t="s">
        <v>1089</v>
      </c>
      <c r="L503" s="268"/>
      <c r="M503" s="268"/>
      <c r="N503" s="268">
        <v>599</v>
      </c>
    </row>
    <row r="504" spans="2:14" ht="14.25">
      <c r="B504" s="267" t="s">
        <v>997</v>
      </c>
      <c r="C504" s="61" t="s">
        <v>1093</v>
      </c>
      <c r="L504" s="268"/>
      <c r="M504" s="268"/>
      <c r="N504" s="268">
        <v>41</v>
      </c>
    </row>
    <row r="505" spans="2:14" ht="14.25">
      <c r="B505" s="267" t="s">
        <v>997</v>
      </c>
      <c r="C505" s="61" t="s">
        <v>1078</v>
      </c>
      <c r="L505" s="268"/>
      <c r="M505" s="268"/>
      <c r="N505" s="268">
        <v>-7203</v>
      </c>
    </row>
    <row r="506" spans="2:14" ht="14.25">
      <c r="B506" s="267"/>
      <c r="L506" s="268"/>
      <c r="M506" s="268"/>
      <c r="N506" s="268"/>
    </row>
    <row r="507" spans="1:14" s="278" customFormat="1" ht="14.25">
      <c r="A507" s="278" t="s">
        <v>23</v>
      </c>
      <c r="B507" s="278" t="s">
        <v>708</v>
      </c>
      <c r="L507" s="280"/>
      <c r="M507" s="280"/>
      <c r="N507" s="280">
        <f>SUM(N508)</f>
        <v>7203</v>
      </c>
    </row>
    <row r="508" spans="2:14" ht="14.25">
      <c r="B508" s="267" t="s">
        <v>997</v>
      </c>
      <c r="C508" s="61" t="s">
        <v>1082</v>
      </c>
      <c r="L508" s="268"/>
      <c r="M508" s="268"/>
      <c r="N508" s="268">
        <v>7203</v>
      </c>
    </row>
    <row r="509" spans="12:14" ht="14.25">
      <c r="L509" s="268"/>
      <c r="M509" s="268"/>
      <c r="N509" s="268"/>
    </row>
    <row r="510" spans="1:14" s="278" customFormat="1" ht="14.25">
      <c r="A510" s="278" t="s">
        <v>24</v>
      </c>
      <c r="B510" s="278" t="s">
        <v>1139</v>
      </c>
      <c r="L510" s="280"/>
      <c r="M510" s="280"/>
      <c r="N510" s="280">
        <v>-444</v>
      </c>
    </row>
    <row r="511" spans="12:14" ht="14.25">
      <c r="L511" s="268"/>
      <c r="M511" s="268"/>
      <c r="N511" s="268"/>
    </row>
    <row r="512" spans="1:14" s="278" customFormat="1" ht="14.25">
      <c r="A512" s="278" t="s">
        <v>25</v>
      </c>
      <c r="B512" s="278" t="s">
        <v>216</v>
      </c>
      <c r="L512" s="280"/>
      <c r="M512" s="280"/>
      <c r="N512" s="280">
        <f>SUM(N513:N515)</f>
        <v>6944</v>
      </c>
    </row>
    <row r="513" spans="2:14" ht="14.25">
      <c r="B513" s="267" t="s">
        <v>997</v>
      </c>
      <c r="C513" s="61" t="s">
        <v>1344</v>
      </c>
      <c r="L513" s="268"/>
      <c r="M513" s="268"/>
      <c r="N513" s="268">
        <v>444</v>
      </c>
    </row>
    <row r="514" spans="2:13" ht="14.25">
      <c r="B514" s="267" t="s">
        <v>997</v>
      </c>
      <c r="C514" s="61" t="s">
        <v>1094</v>
      </c>
      <c r="L514" s="268"/>
      <c r="M514" s="268"/>
    </row>
    <row r="515" spans="2:14" ht="14.25">
      <c r="B515" s="267"/>
      <c r="C515" s="61" t="s">
        <v>1345</v>
      </c>
      <c r="L515" s="268"/>
      <c r="M515" s="268"/>
      <c r="N515" s="268">
        <v>6500</v>
      </c>
    </row>
    <row r="516" spans="12:14" ht="14.25">
      <c r="L516" s="268"/>
      <c r="M516" s="268"/>
      <c r="N516" s="268"/>
    </row>
    <row r="517" spans="1:14" ht="15.75">
      <c r="A517" s="157" t="s">
        <v>95</v>
      </c>
      <c r="L517" s="268"/>
      <c r="M517" s="268"/>
      <c r="N517" s="268"/>
    </row>
    <row r="518" spans="1:14" ht="15.75">
      <c r="A518" s="157" t="s">
        <v>992</v>
      </c>
      <c r="L518" s="268"/>
      <c r="M518" s="268"/>
      <c r="N518" s="268"/>
    </row>
    <row r="519" spans="12:14" ht="14.25">
      <c r="L519" s="268"/>
      <c r="M519" s="268"/>
      <c r="N519" s="268"/>
    </row>
    <row r="520" spans="1:14" s="278" customFormat="1" ht="14.25">
      <c r="A520" s="288" t="s">
        <v>20</v>
      </c>
      <c r="B520" s="288" t="s">
        <v>1095</v>
      </c>
      <c r="C520" s="288"/>
      <c r="D520" s="288"/>
      <c r="E520" s="288"/>
      <c r="F520" s="288"/>
      <c r="G520" s="288"/>
      <c r="H520" s="288"/>
      <c r="I520" s="288"/>
      <c r="J520" s="288"/>
      <c r="K520" s="288"/>
      <c r="L520" s="290">
        <v>1806</v>
      </c>
      <c r="M520" s="290"/>
      <c r="N520" s="290"/>
    </row>
    <row r="521" spans="12:14" ht="14.25">
      <c r="L521" s="268"/>
      <c r="M521" s="268"/>
      <c r="N521" s="268"/>
    </row>
    <row r="522" spans="1:14" ht="15.75">
      <c r="A522" s="157" t="s">
        <v>993</v>
      </c>
      <c r="L522" s="268"/>
      <c r="M522" s="268"/>
      <c r="N522" s="291">
        <f>SUM(N524,N528,N533,N536,N538)</f>
        <v>1806</v>
      </c>
    </row>
    <row r="523" spans="12:14" ht="14.25">
      <c r="L523" s="268"/>
      <c r="M523" s="268"/>
      <c r="N523" s="268"/>
    </row>
    <row r="524" spans="1:14" s="278" customFormat="1" ht="14.25">
      <c r="A524" s="278" t="s">
        <v>21</v>
      </c>
      <c r="B524" s="281" t="s">
        <v>115</v>
      </c>
      <c r="L524" s="280"/>
      <c r="M524" s="280"/>
      <c r="N524" s="280">
        <f>SUM(N525:N526)</f>
        <v>1422</v>
      </c>
    </row>
    <row r="525" spans="2:14" ht="14.25">
      <c r="B525" s="267" t="s">
        <v>997</v>
      </c>
      <c r="C525" s="61" t="s">
        <v>1050</v>
      </c>
      <c r="L525" s="268"/>
      <c r="M525" s="268"/>
      <c r="N525" s="268">
        <v>465</v>
      </c>
    </row>
    <row r="526" spans="2:14" ht="14.25">
      <c r="B526" s="267" t="s">
        <v>997</v>
      </c>
      <c r="C526" s="61" t="s">
        <v>1088</v>
      </c>
      <c r="L526" s="268"/>
      <c r="M526" s="268"/>
      <c r="N526" s="268">
        <v>957</v>
      </c>
    </row>
    <row r="527" spans="2:14" ht="14.25">
      <c r="B527" s="267"/>
      <c r="L527" s="268"/>
      <c r="M527" s="268"/>
      <c r="N527" s="268"/>
    </row>
    <row r="528" spans="1:14" s="278" customFormat="1" ht="14.25">
      <c r="A528" s="278" t="s">
        <v>22</v>
      </c>
      <c r="B528" s="281" t="s">
        <v>1051</v>
      </c>
      <c r="L528" s="280"/>
      <c r="M528" s="280"/>
      <c r="N528" s="280">
        <f>SUM(N529:N531)</f>
        <v>-828</v>
      </c>
    </row>
    <row r="529" spans="2:14" ht="14.25">
      <c r="B529" s="267" t="s">
        <v>997</v>
      </c>
      <c r="C529" s="61" t="s">
        <v>1076</v>
      </c>
      <c r="L529" s="268"/>
      <c r="M529" s="268"/>
      <c r="N529" s="268">
        <v>126</v>
      </c>
    </row>
    <row r="530" spans="2:14" ht="14.25">
      <c r="B530" s="267" t="s">
        <v>997</v>
      </c>
      <c r="C530" s="61" t="s">
        <v>1089</v>
      </c>
      <c r="L530" s="268"/>
      <c r="M530" s="268"/>
      <c r="N530" s="268">
        <v>258</v>
      </c>
    </row>
    <row r="531" spans="2:14" ht="14.25">
      <c r="B531" s="267" t="s">
        <v>997</v>
      </c>
      <c r="C531" s="61" t="s">
        <v>1078</v>
      </c>
      <c r="L531" s="268"/>
      <c r="M531" s="268"/>
      <c r="N531" s="268">
        <v>-1212</v>
      </c>
    </row>
    <row r="532" spans="2:14" ht="14.25">
      <c r="B532" s="267"/>
      <c r="L532" s="268"/>
      <c r="M532" s="268"/>
      <c r="N532" s="268"/>
    </row>
    <row r="533" spans="1:14" s="278" customFormat="1" ht="14.25">
      <c r="A533" s="278" t="s">
        <v>23</v>
      </c>
      <c r="B533" s="278" t="s">
        <v>708</v>
      </c>
      <c r="L533" s="280"/>
      <c r="M533" s="280"/>
      <c r="N533" s="280">
        <f>SUM(N534)</f>
        <v>1212</v>
      </c>
    </row>
    <row r="534" spans="2:14" ht="14.25">
      <c r="B534" s="267" t="s">
        <v>997</v>
      </c>
      <c r="C534" s="61" t="s">
        <v>1082</v>
      </c>
      <c r="L534" s="268"/>
      <c r="M534" s="268"/>
      <c r="N534" s="268">
        <v>1212</v>
      </c>
    </row>
    <row r="535" spans="12:14" ht="14.25">
      <c r="L535" s="268"/>
      <c r="M535" s="268"/>
      <c r="N535" s="268"/>
    </row>
    <row r="536" spans="1:14" s="278" customFormat="1" ht="14.25">
      <c r="A536" s="278" t="s">
        <v>24</v>
      </c>
      <c r="B536" s="278" t="s">
        <v>1139</v>
      </c>
      <c r="L536" s="280"/>
      <c r="M536" s="280"/>
      <c r="N536" s="280">
        <v>-222</v>
      </c>
    </row>
    <row r="537" spans="12:14" ht="14.25">
      <c r="L537" s="268"/>
      <c r="M537" s="268"/>
      <c r="N537" s="268"/>
    </row>
    <row r="538" spans="1:14" s="278" customFormat="1" ht="14.25">
      <c r="A538" s="278" t="s">
        <v>25</v>
      </c>
      <c r="B538" s="278" t="s">
        <v>216</v>
      </c>
      <c r="L538" s="280"/>
      <c r="M538" s="280"/>
      <c r="N538" s="280">
        <f>SUM(N539)</f>
        <v>222</v>
      </c>
    </row>
    <row r="539" spans="2:14" ht="14.25">
      <c r="B539" s="267" t="s">
        <v>997</v>
      </c>
      <c r="C539" s="61" t="s">
        <v>1347</v>
      </c>
      <c r="L539" s="268"/>
      <c r="M539" s="268"/>
      <c r="N539" s="268">
        <v>222</v>
      </c>
    </row>
    <row r="540" spans="12:14" ht="14.25">
      <c r="L540" s="268"/>
      <c r="M540" s="268"/>
      <c r="N540" s="268"/>
    </row>
    <row r="541" spans="1:14" ht="15.75">
      <c r="A541" s="157" t="s">
        <v>93</v>
      </c>
      <c r="L541" s="268"/>
      <c r="M541" s="268"/>
      <c r="N541" s="268"/>
    </row>
    <row r="542" spans="1:14" ht="15.75">
      <c r="A542" s="157" t="s">
        <v>992</v>
      </c>
      <c r="L542" s="291">
        <f>SUM(L544)</f>
        <v>1106</v>
      </c>
      <c r="M542" s="268"/>
      <c r="N542" s="268"/>
    </row>
    <row r="543" spans="12:14" ht="14.25">
      <c r="L543" s="268"/>
      <c r="M543" s="268"/>
      <c r="N543" s="268"/>
    </row>
    <row r="544" spans="1:14" s="278" customFormat="1" ht="14.25">
      <c r="A544" s="278" t="s">
        <v>20</v>
      </c>
      <c r="B544" s="278" t="s">
        <v>100</v>
      </c>
      <c r="L544" s="280">
        <f>SUM(L545:L546)</f>
        <v>1106</v>
      </c>
      <c r="M544" s="280"/>
      <c r="N544" s="280"/>
    </row>
    <row r="545" spans="2:14" ht="14.25">
      <c r="B545" s="267" t="s">
        <v>997</v>
      </c>
      <c r="C545" s="61" t="s">
        <v>687</v>
      </c>
      <c r="L545" s="268">
        <v>23</v>
      </c>
      <c r="M545" s="268"/>
      <c r="N545" s="268"/>
    </row>
    <row r="546" spans="2:14" ht="14.25">
      <c r="B546" s="267" t="s">
        <v>997</v>
      </c>
      <c r="C546" s="61" t="s">
        <v>1096</v>
      </c>
      <c r="L546" s="268">
        <v>1083</v>
      </c>
      <c r="M546" s="268"/>
      <c r="N546" s="268"/>
    </row>
    <row r="547" spans="12:14" ht="14.25">
      <c r="L547" s="268"/>
      <c r="M547" s="268"/>
      <c r="N547" s="268"/>
    </row>
    <row r="548" spans="1:14" s="278" customFormat="1" ht="14.25">
      <c r="A548" s="288" t="s">
        <v>21</v>
      </c>
      <c r="B548" s="288" t="s">
        <v>1095</v>
      </c>
      <c r="C548" s="288"/>
      <c r="D548" s="288"/>
      <c r="E548" s="288"/>
      <c r="F548" s="288"/>
      <c r="G548" s="288"/>
      <c r="H548" s="288"/>
      <c r="I548" s="288"/>
      <c r="J548" s="288"/>
      <c r="K548" s="288"/>
      <c r="L548" s="290">
        <v>-152</v>
      </c>
      <c r="M548" s="290"/>
      <c r="N548" s="290"/>
    </row>
    <row r="549" spans="12:14" ht="14.25">
      <c r="L549" s="268"/>
      <c r="M549" s="268"/>
      <c r="N549" s="268"/>
    </row>
    <row r="550" spans="1:14" ht="15.75">
      <c r="A550" s="157" t="s">
        <v>993</v>
      </c>
      <c r="L550" s="268"/>
      <c r="M550" s="268"/>
      <c r="N550" s="291">
        <f>SUM(N552,N556,N561,N564,N566)</f>
        <v>954</v>
      </c>
    </row>
    <row r="551" spans="12:14" ht="14.25">
      <c r="L551" s="268"/>
      <c r="M551" s="268"/>
      <c r="N551" s="268"/>
    </row>
    <row r="552" spans="1:14" s="278" customFormat="1" ht="14.25">
      <c r="A552" s="278" t="s">
        <v>22</v>
      </c>
      <c r="B552" s="281" t="s">
        <v>115</v>
      </c>
      <c r="L552" s="280"/>
      <c r="M552" s="280"/>
      <c r="N552" s="280">
        <f>SUM(N553:N554)</f>
        <v>732</v>
      </c>
    </row>
    <row r="553" spans="2:14" ht="14.25">
      <c r="B553" s="267" t="s">
        <v>997</v>
      </c>
      <c r="C553" s="61" t="s">
        <v>1050</v>
      </c>
      <c r="L553" s="268"/>
      <c r="M553" s="268"/>
      <c r="N553" s="268">
        <v>429</v>
      </c>
    </row>
    <row r="554" spans="2:14" ht="14.25">
      <c r="B554" s="267" t="s">
        <v>997</v>
      </c>
      <c r="C554" s="61" t="s">
        <v>1088</v>
      </c>
      <c r="L554" s="268"/>
      <c r="M554" s="268"/>
      <c r="N554" s="268">
        <v>303</v>
      </c>
    </row>
    <row r="555" spans="2:14" ht="14.25">
      <c r="B555" s="267"/>
      <c r="L555" s="268"/>
      <c r="M555" s="268"/>
      <c r="N555" s="268"/>
    </row>
    <row r="556" spans="1:14" s="278" customFormat="1" ht="14.25">
      <c r="A556" s="278" t="s">
        <v>23</v>
      </c>
      <c r="B556" s="281" t="s">
        <v>1051</v>
      </c>
      <c r="L556" s="280"/>
      <c r="M556" s="280"/>
      <c r="N556" s="280">
        <f>SUM(N557:N559)</f>
        <v>-322</v>
      </c>
    </row>
    <row r="557" spans="2:14" ht="14.25">
      <c r="B557" s="267" t="s">
        <v>997</v>
      </c>
      <c r="C557" s="61" t="s">
        <v>1076</v>
      </c>
      <c r="L557" s="268"/>
      <c r="M557" s="268"/>
      <c r="N557" s="268">
        <v>116</v>
      </c>
    </row>
    <row r="558" spans="2:14" ht="14.25">
      <c r="B558" s="267" t="s">
        <v>997</v>
      </c>
      <c r="C558" s="61" t="s">
        <v>1089</v>
      </c>
      <c r="L558" s="268"/>
      <c r="M558" s="268"/>
      <c r="N558" s="268">
        <v>83</v>
      </c>
    </row>
    <row r="559" spans="2:14" ht="14.25">
      <c r="B559" s="267" t="s">
        <v>997</v>
      </c>
      <c r="C559" s="61" t="s">
        <v>1078</v>
      </c>
      <c r="L559" s="268"/>
      <c r="M559" s="268"/>
      <c r="N559" s="268">
        <v>-521</v>
      </c>
    </row>
    <row r="560" spans="2:14" ht="14.25">
      <c r="B560" s="267"/>
      <c r="L560" s="268"/>
      <c r="M560" s="268"/>
      <c r="N560" s="268"/>
    </row>
    <row r="561" spans="1:14" s="278" customFormat="1" ht="14.25">
      <c r="A561" s="278" t="s">
        <v>24</v>
      </c>
      <c r="B561" s="278" t="s">
        <v>708</v>
      </c>
      <c r="L561" s="280"/>
      <c r="M561" s="280"/>
      <c r="N561" s="280">
        <f>SUM(N562)</f>
        <v>521</v>
      </c>
    </row>
    <row r="562" spans="2:14" ht="14.25">
      <c r="B562" s="267" t="s">
        <v>997</v>
      </c>
      <c r="C562" s="61" t="s">
        <v>1082</v>
      </c>
      <c r="L562" s="268"/>
      <c r="M562" s="268"/>
      <c r="N562" s="268">
        <v>521</v>
      </c>
    </row>
    <row r="563" spans="12:14" ht="14.25">
      <c r="L563" s="268"/>
      <c r="M563" s="268"/>
      <c r="N563" s="268"/>
    </row>
    <row r="564" spans="1:14" s="278" customFormat="1" ht="14.25">
      <c r="A564" s="278" t="s">
        <v>25</v>
      </c>
      <c r="B564" s="278" t="s">
        <v>1139</v>
      </c>
      <c r="L564" s="280"/>
      <c r="M564" s="280"/>
      <c r="N564" s="280">
        <v>-155</v>
      </c>
    </row>
    <row r="565" spans="12:14" ht="14.25">
      <c r="L565" s="268"/>
      <c r="M565" s="268"/>
      <c r="N565" s="268"/>
    </row>
    <row r="566" spans="1:14" s="278" customFormat="1" ht="14.25">
      <c r="A566" s="278" t="s">
        <v>26</v>
      </c>
      <c r="B566" s="278" t="s">
        <v>216</v>
      </c>
      <c r="L566" s="280"/>
      <c r="M566" s="280"/>
      <c r="N566" s="280">
        <f>SUM(N567)</f>
        <v>178</v>
      </c>
    </row>
    <row r="567" spans="2:14" ht="14.25">
      <c r="B567" s="267" t="s">
        <v>997</v>
      </c>
      <c r="C567" s="61" t="s">
        <v>1348</v>
      </c>
      <c r="L567" s="268"/>
      <c r="M567" s="268"/>
      <c r="N567" s="268">
        <v>178</v>
      </c>
    </row>
    <row r="568" spans="12:14" ht="14.25">
      <c r="L568" s="268"/>
      <c r="M568" s="268"/>
      <c r="N568" s="268"/>
    </row>
    <row r="569" spans="1:14" ht="15.75">
      <c r="A569" s="157" t="s">
        <v>94</v>
      </c>
      <c r="L569" s="268"/>
      <c r="M569" s="268"/>
      <c r="N569" s="268"/>
    </row>
    <row r="570" spans="1:14" ht="15.75">
      <c r="A570" s="157" t="s">
        <v>992</v>
      </c>
      <c r="L570" s="268"/>
      <c r="M570" s="268"/>
      <c r="N570" s="268"/>
    </row>
    <row r="571" spans="12:14" ht="14.25">
      <c r="L571" s="268"/>
      <c r="M571" s="268"/>
      <c r="N571" s="268"/>
    </row>
    <row r="572" spans="1:14" s="278" customFormat="1" ht="14.25">
      <c r="A572" s="288" t="s">
        <v>20</v>
      </c>
      <c r="B572" s="288" t="s">
        <v>1095</v>
      </c>
      <c r="C572" s="288"/>
      <c r="D572" s="288"/>
      <c r="E572" s="288"/>
      <c r="F572" s="288"/>
      <c r="G572" s="288"/>
      <c r="H572" s="288"/>
      <c r="I572" s="288"/>
      <c r="J572" s="288"/>
      <c r="K572" s="288"/>
      <c r="L572" s="290">
        <v>533</v>
      </c>
      <c r="M572" s="290"/>
      <c r="N572" s="290"/>
    </row>
    <row r="573" spans="12:14" ht="14.25">
      <c r="L573" s="268"/>
      <c r="M573" s="268"/>
      <c r="N573" s="268"/>
    </row>
    <row r="574" spans="1:14" ht="15.75">
      <c r="A574" s="157" t="s">
        <v>993</v>
      </c>
      <c r="L574" s="268"/>
      <c r="M574" s="268"/>
      <c r="N574" s="291">
        <f>SUM(N576,N580,N585)</f>
        <v>533</v>
      </c>
    </row>
    <row r="575" spans="12:14" ht="14.25">
      <c r="L575" s="268"/>
      <c r="M575" s="268"/>
      <c r="N575" s="268"/>
    </row>
    <row r="576" spans="1:14" s="278" customFormat="1" ht="14.25">
      <c r="A576" s="278" t="s">
        <v>21</v>
      </c>
      <c r="B576" s="281" t="s">
        <v>115</v>
      </c>
      <c r="L576" s="280"/>
      <c r="M576" s="280"/>
      <c r="N576" s="280">
        <f>SUM(N577:N578)</f>
        <v>420</v>
      </c>
    </row>
    <row r="577" spans="2:14" ht="14.25">
      <c r="B577" s="267" t="s">
        <v>997</v>
      </c>
      <c r="C577" s="61" t="s">
        <v>1050</v>
      </c>
      <c r="L577" s="268"/>
      <c r="M577" s="268"/>
      <c r="N577" s="268">
        <v>330</v>
      </c>
    </row>
    <row r="578" spans="2:14" ht="14.25">
      <c r="B578" s="267" t="s">
        <v>997</v>
      </c>
      <c r="C578" s="61" t="s">
        <v>1088</v>
      </c>
      <c r="L578" s="268"/>
      <c r="M578" s="268"/>
      <c r="N578" s="268">
        <v>90</v>
      </c>
    </row>
    <row r="579" spans="2:14" ht="14.25">
      <c r="B579" s="267"/>
      <c r="L579" s="268"/>
      <c r="M579" s="268"/>
      <c r="N579" s="268"/>
    </row>
    <row r="580" spans="1:14" s="278" customFormat="1" ht="14.25">
      <c r="A580" s="278" t="s">
        <v>22</v>
      </c>
      <c r="B580" s="281" t="s">
        <v>1051</v>
      </c>
      <c r="L580" s="280"/>
      <c r="M580" s="280"/>
      <c r="N580" s="280">
        <f>SUM(N581:N583)</f>
        <v>-757</v>
      </c>
    </row>
    <row r="581" spans="2:14" ht="14.25">
      <c r="B581" s="267" t="s">
        <v>997</v>
      </c>
      <c r="C581" s="61" t="s">
        <v>1076</v>
      </c>
      <c r="L581" s="268"/>
      <c r="M581" s="268"/>
      <c r="N581" s="268">
        <v>89</v>
      </c>
    </row>
    <row r="582" spans="2:14" ht="14.25">
      <c r="B582" s="267" t="s">
        <v>997</v>
      </c>
      <c r="C582" s="61" t="s">
        <v>1089</v>
      </c>
      <c r="L582" s="268"/>
      <c r="M582" s="268"/>
      <c r="N582" s="268">
        <v>24</v>
      </c>
    </row>
    <row r="583" spans="2:14" ht="14.25">
      <c r="B583" s="267" t="s">
        <v>997</v>
      </c>
      <c r="C583" s="61" t="s">
        <v>1078</v>
      </c>
      <c r="L583" s="268"/>
      <c r="M583" s="268"/>
      <c r="N583" s="268">
        <v>-870</v>
      </c>
    </row>
    <row r="584" spans="2:14" ht="14.25">
      <c r="B584" s="267"/>
      <c r="L584" s="268"/>
      <c r="M584" s="268"/>
      <c r="N584" s="268"/>
    </row>
    <row r="585" spans="1:14" s="278" customFormat="1" ht="14.25">
      <c r="A585" s="278" t="s">
        <v>23</v>
      </c>
      <c r="B585" s="278" t="s">
        <v>708</v>
      </c>
      <c r="L585" s="280"/>
      <c r="M585" s="280"/>
      <c r="N585" s="280">
        <f>SUM(N586)</f>
        <v>870</v>
      </c>
    </row>
    <row r="586" spans="2:14" ht="14.25">
      <c r="B586" s="267" t="s">
        <v>997</v>
      </c>
      <c r="C586" s="61" t="s">
        <v>1082</v>
      </c>
      <c r="L586" s="268"/>
      <c r="M586" s="268"/>
      <c r="N586" s="268">
        <v>870</v>
      </c>
    </row>
    <row r="587" spans="12:14" ht="14.25">
      <c r="L587" s="268"/>
      <c r="M587" s="268"/>
      <c r="N587" s="268"/>
    </row>
    <row r="588" spans="1:14" ht="15.75">
      <c r="A588" s="157" t="s">
        <v>96</v>
      </c>
      <c r="L588" s="268"/>
      <c r="M588" s="268"/>
      <c r="N588" s="268"/>
    </row>
    <row r="589" spans="1:14" ht="15.75">
      <c r="A589" s="157" t="s">
        <v>992</v>
      </c>
      <c r="L589" s="268"/>
      <c r="M589" s="268"/>
      <c r="N589" s="268"/>
    </row>
    <row r="590" spans="12:14" ht="14.25">
      <c r="L590" s="268"/>
      <c r="M590" s="268"/>
      <c r="N590" s="268"/>
    </row>
    <row r="591" spans="1:14" s="278" customFormat="1" ht="14.25">
      <c r="A591" s="288" t="s">
        <v>20</v>
      </c>
      <c r="B591" s="288" t="s">
        <v>1095</v>
      </c>
      <c r="C591" s="288"/>
      <c r="D591" s="288"/>
      <c r="E591" s="288"/>
      <c r="F591" s="288"/>
      <c r="G591" s="288"/>
      <c r="H591" s="288"/>
      <c r="I591" s="288"/>
      <c r="J591" s="288"/>
      <c r="K591" s="288"/>
      <c r="L591" s="290">
        <v>4170</v>
      </c>
      <c r="M591" s="290"/>
      <c r="N591" s="290"/>
    </row>
    <row r="592" spans="12:14" ht="14.25">
      <c r="L592" s="268"/>
      <c r="M592" s="268"/>
      <c r="N592" s="268"/>
    </row>
    <row r="593" spans="1:14" ht="15.75">
      <c r="A593" s="157" t="s">
        <v>993</v>
      </c>
      <c r="L593" s="268"/>
      <c r="M593" s="268"/>
      <c r="N593" s="291">
        <f>SUM(N595,N599,N604)</f>
        <v>4170</v>
      </c>
    </row>
    <row r="594" spans="12:14" ht="14.25">
      <c r="L594" s="268"/>
      <c r="M594" s="268"/>
      <c r="N594" s="268"/>
    </row>
    <row r="595" spans="1:14" s="278" customFormat="1" ht="14.25">
      <c r="A595" s="278" t="s">
        <v>21</v>
      </c>
      <c r="B595" s="281" t="s">
        <v>115</v>
      </c>
      <c r="L595" s="280"/>
      <c r="M595" s="280"/>
      <c r="N595" s="280">
        <f>SUM(N596:N597)</f>
        <v>3284</v>
      </c>
    </row>
    <row r="596" spans="2:14" ht="14.25">
      <c r="B596" s="267" t="s">
        <v>997</v>
      </c>
      <c r="C596" s="61" t="s">
        <v>1050</v>
      </c>
      <c r="L596" s="268"/>
      <c r="M596" s="268"/>
      <c r="N596" s="268">
        <v>2777</v>
      </c>
    </row>
    <row r="597" spans="2:14" ht="14.25">
      <c r="B597" s="267" t="s">
        <v>997</v>
      </c>
      <c r="C597" s="61" t="s">
        <v>1088</v>
      </c>
      <c r="L597" s="268"/>
      <c r="M597" s="268"/>
      <c r="N597" s="268">
        <v>507</v>
      </c>
    </row>
    <row r="598" spans="2:14" ht="14.25">
      <c r="B598" s="267"/>
      <c r="L598" s="268"/>
      <c r="M598" s="268"/>
      <c r="N598" s="268"/>
    </row>
    <row r="599" spans="1:14" s="278" customFormat="1" ht="14.25">
      <c r="A599" s="278" t="s">
        <v>22</v>
      </c>
      <c r="B599" s="281" t="s">
        <v>1051</v>
      </c>
      <c r="L599" s="280"/>
      <c r="M599" s="280"/>
      <c r="N599" s="280">
        <f>SUM(N600:N602)</f>
        <v>-549</v>
      </c>
    </row>
    <row r="600" spans="2:14" ht="14.25">
      <c r="B600" s="267" t="s">
        <v>997</v>
      </c>
      <c r="C600" s="61" t="s">
        <v>1076</v>
      </c>
      <c r="L600" s="268"/>
      <c r="M600" s="268"/>
      <c r="N600" s="268">
        <v>749</v>
      </c>
    </row>
    <row r="601" spans="2:14" ht="14.25">
      <c r="B601" s="267" t="s">
        <v>997</v>
      </c>
      <c r="C601" s="61" t="s">
        <v>1089</v>
      </c>
      <c r="L601" s="268"/>
      <c r="M601" s="268"/>
      <c r="N601" s="268">
        <v>137</v>
      </c>
    </row>
    <row r="602" spans="2:14" ht="14.25">
      <c r="B602" s="267" t="s">
        <v>997</v>
      </c>
      <c r="C602" s="61" t="s">
        <v>1078</v>
      </c>
      <c r="L602" s="268"/>
      <c r="M602" s="268"/>
      <c r="N602" s="268">
        <v>-1435</v>
      </c>
    </row>
    <row r="603" spans="2:14" ht="14.25">
      <c r="B603" s="267"/>
      <c r="L603" s="268"/>
      <c r="M603" s="268"/>
      <c r="N603" s="268"/>
    </row>
    <row r="604" spans="1:14" s="278" customFormat="1" ht="14.25">
      <c r="A604" s="278" t="s">
        <v>23</v>
      </c>
      <c r="B604" s="278" t="s">
        <v>708</v>
      </c>
      <c r="L604" s="280"/>
      <c r="M604" s="280"/>
      <c r="N604" s="280">
        <f>SUM(N605)</f>
        <v>1435</v>
      </c>
    </row>
    <row r="605" spans="2:14" ht="14.25">
      <c r="B605" s="267" t="s">
        <v>997</v>
      </c>
      <c r="C605" s="61" t="s">
        <v>1082</v>
      </c>
      <c r="L605" s="268"/>
      <c r="M605" s="268"/>
      <c r="N605" s="268">
        <v>1435</v>
      </c>
    </row>
    <row r="607" spans="1:14" ht="14.25">
      <c r="A607" s="61" t="s">
        <v>1097</v>
      </c>
      <c r="L607" s="268">
        <f>SUM(L12,L61,L78,L91,L400,L407,L455,L542,L83,L101,L109,L117)</f>
        <v>228775</v>
      </c>
      <c r="N607" s="268">
        <f>SUM(N128,N146,N172,N196,N229,N248,N269,N277,N282,N292,N315,N321,N341,N419,N441,N466,N494,N522,N550,N574,N593,N214,N328,N336,N434)</f>
        <v>228775</v>
      </c>
    </row>
    <row r="609" spans="1:14" ht="14.25">
      <c r="A609" s="61" t="s">
        <v>1219</v>
      </c>
      <c r="L609" s="268">
        <f>5560160+L607</f>
        <v>5788935</v>
      </c>
      <c r="N609" s="268">
        <f>5560160+N607</f>
        <v>5788935</v>
      </c>
    </row>
  </sheetData>
  <sheetProtection/>
  <mergeCells count="2">
    <mergeCell ref="A1:N1"/>
    <mergeCell ref="A3:N3"/>
  </mergeCells>
  <printOptions horizontalCentered="1"/>
  <pageMargins left="0.31496062992125984" right="0.31496062992125984" top="0.7480314960629921" bottom="0.7480314960629921" header="0.31496062992125984" footer="0.31496062992125984"/>
  <pageSetup horizontalDpi="600" verticalDpi="600" orientation="portrait" paperSize="9" scale="81" r:id="rId1"/>
  <headerFooter>
    <oddFooter>&amp;C&amp;P</oddFooter>
  </headerFooter>
  <rowBreaks count="11" manualBreakCount="11">
    <brk id="52" max="13" man="1"/>
    <brk id="108" max="13" man="1"/>
    <brk id="169" max="13" man="1"/>
    <brk id="228" max="13" man="1"/>
    <brk id="280" max="13" man="1"/>
    <brk id="335" max="13" man="1"/>
    <brk id="394" max="13" man="1"/>
    <brk id="452" max="13" man="1"/>
    <brk id="488" max="13" man="1"/>
    <brk id="540" max="13" man="1"/>
    <brk id="587" max="255" man="1"/>
  </rowBreaks>
</worksheet>
</file>

<file path=xl/worksheets/sheet3.xml><?xml version="1.0" encoding="utf-8"?>
<worksheet xmlns="http://schemas.openxmlformats.org/spreadsheetml/2006/main" xmlns:r="http://schemas.openxmlformats.org/officeDocument/2006/relationships">
  <dimension ref="A1:I92"/>
  <sheetViews>
    <sheetView view="pageBreakPreview" zoomScaleSheetLayoutView="100" zoomScalePageLayoutView="0" workbookViewId="0" topLeftCell="A10">
      <selection activeCell="E67" sqref="E67"/>
    </sheetView>
  </sheetViews>
  <sheetFormatPr defaultColWidth="9.140625" defaultRowHeight="15"/>
  <cols>
    <col min="1" max="1" width="9.140625" style="150" customWidth="1"/>
    <col min="2" max="2" width="17.57421875" style="150" customWidth="1"/>
    <col min="3" max="3" width="11.421875" style="150" bestFit="1" customWidth="1"/>
    <col min="4" max="4" width="9.140625" style="150" customWidth="1"/>
    <col min="5" max="5" width="10.28125" style="150" bestFit="1" customWidth="1"/>
    <col min="6" max="6" width="9.57421875" style="150" bestFit="1" customWidth="1"/>
    <col min="7" max="16384" width="9.140625" style="150" customWidth="1"/>
  </cols>
  <sheetData>
    <row r="1" spans="1:9" ht="15.75">
      <c r="A1" s="331" t="s">
        <v>1221</v>
      </c>
      <c r="B1" s="331"/>
      <c r="C1" s="331"/>
      <c r="D1" s="331"/>
      <c r="E1" s="331"/>
      <c r="F1" s="331"/>
      <c r="G1" s="331"/>
      <c r="H1" s="331"/>
      <c r="I1" s="331"/>
    </row>
    <row r="2" spans="1:9" ht="15.75">
      <c r="A2" s="157"/>
      <c r="B2" s="157"/>
      <c r="C2" s="157"/>
      <c r="D2" s="157"/>
      <c r="E2" s="157"/>
      <c r="F2" s="157"/>
      <c r="G2" s="157"/>
      <c r="H2" s="157"/>
      <c r="I2" s="157"/>
    </row>
    <row r="3" spans="1:9" ht="15.75">
      <c r="A3" s="331" t="s">
        <v>1222</v>
      </c>
      <c r="B3" s="331"/>
      <c r="C3" s="331"/>
      <c r="D3" s="331"/>
      <c r="E3" s="331"/>
      <c r="F3" s="331"/>
      <c r="G3" s="331"/>
      <c r="H3" s="331"/>
      <c r="I3" s="331"/>
    </row>
    <row r="4" spans="1:9" ht="15.75">
      <c r="A4" s="331" t="s">
        <v>1247</v>
      </c>
      <c r="B4" s="331"/>
      <c r="C4" s="331"/>
      <c r="D4" s="331"/>
      <c r="E4" s="331"/>
      <c r="F4" s="331"/>
      <c r="G4" s="331"/>
      <c r="H4" s="331"/>
      <c r="I4" s="331"/>
    </row>
    <row r="5" spans="1:9" ht="15.75">
      <c r="A5" s="331" t="s">
        <v>1223</v>
      </c>
      <c r="B5" s="331"/>
      <c r="C5" s="331"/>
      <c r="D5" s="331"/>
      <c r="E5" s="331"/>
      <c r="F5" s="331"/>
      <c r="G5" s="331"/>
      <c r="H5" s="331"/>
      <c r="I5" s="331"/>
    </row>
    <row r="6" spans="1:9" ht="15.75">
      <c r="A6" s="331" t="s">
        <v>1224</v>
      </c>
      <c r="B6" s="331"/>
      <c r="C6" s="331"/>
      <c r="D6" s="331"/>
      <c r="E6" s="331"/>
      <c r="F6" s="331"/>
      <c r="G6" s="331"/>
      <c r="H6" s="331"/>
      <c r="I6" s="331"/>
    </row>
    <row r="9" spans="1:9" ht="96.75" customHeight="1">
      <c r="A9" s="330" t="s">
        <v>1225</v>
      </c>
      <c r="B9" s="330"/>
      <c r="C9" s="330"/>
      <c r="D9" s="330"/>
      <c r="E9" s="330"/>
      <c r="F9" s="330"/>
      <c r="G9" s="330"/>
      <c r="H9" s="330"/>
      <c r="I9" s="330"/>
    </row>
    <row r="11" spans="1:9" ht="45.75" customHeight="1">
      <c r="A11" s="330" t="s">
        <v>1248</v>
      </c>
      <c r="B11" s="330"/>
      <c r="C11" s="330"/>
      <c r="D11" s="330"/>
      <c r="E11" s="330"/>
      <c r="F11" s="330"/>
      <c r="G11" s="330"/>
      <c r="H11" s="330"/>
      <c r="I11" s="330"/>
    </row>
    <row r="13" ht="15">
      <c r="A13" s="150" t="s">
        <v>1226</v>
      </c>
    </row>
    <row r="14" spans="1:6" ht="15">
      <c r="A14" s="298" t="s">
        <v>1238</v>
      </c>
      <c r="C14" s="299">
        <f>'1. melléklet'!L41</f>
        <v>5074631</v>
      </c>
      <c r="D14" s="150" t="s">
        <v>1256</v>
      </c>
      <c r="F14" s="150" t="s">
        <v>1227</v>
      </c>
    </row>
    <row r="15" spans="1:6" ht="15">
      <c r="A15" s="298" t="s">
        <v>1239</v>
      </c>
      <c r="C15" s="299">
        <f>'1. melléklet'!L72</f>
        <v>5441969</v>
      </c>
      <c r="D15" s="150" t="s">
        <v>1256</v>
      </c>
      <c r="F15" s="150" t="s">
        <v>1228</v>
      </c>
    </row>
    <row r="16" spans="1:6" ht="15">
      <c r="A16" s="298" t="s">
        <v>1240</v>
      </c>
      <c r="C16" s="299">
        <f>C14-C15</f>
        <v>-367338</v>
      </c>
      <c r="D16" s="150" t="s">
        <v>1256</v>
      </c>
      <c r="F16" s="150" t="s">
        <v>1229</v>
      </c>
    </row>
    <row r="17" ht="15">
      <c r="A17" s="150" t="s">
        <v>1230</v>
      </c>
    </row>
    <row r="19" ht="15">
      <c r="A19" s="150" t="s">
        <v>1231</v>
      </c>
    </row>
    <row r="20" spans="1:6" ht="15">
      <c r="A20" s="298" t="s">
        <v>1232</v>
      </c>
      <c r="E20" s="292">
        <f>'1. melléklet'!L93</f>
        <v>366635</v>
      </c>
      <c r="F20" s="300" t="s">
        <v>1256</v>
      </c>
    </row>
    <row r="21" spans="1:6" ht="15">
      <c r="A21" s="298" t="s">
        <v>1233</v>
      </c>
      <c r="E21" s="292">
        <f>'1. melléklet'!L94</f>
        <v>-733973</v>
      </c>
      <c r="F21" s="301" t="s">
        <v>1257</v>
      </c>
    </row>
    <row r="23" ht="15.75">
      <c r="A23" s="150" t="s">
        <v>1249</v>
      </c>
    </row>
    <row r="25" spans="1:9" ht="33" customHeight="1">
      <c r="A25" s="330" t="s">
        <v>1397</v>
      </c>
      <c r="B25" s="330"/>
      <c r="C25" s="330"/>
      <c r="D25" s="330"/>
      <c r="E25" s="330"/>
      <c r="F25" s="330"/>
      <c r="G25" s="330"/>
      <c r="H25" s="330"/>
      <c r="I25" s="330"/>
    </row>
    <row r="27" ht="15">
      <c r="A27" s="150" t="s">
        <v>1234</v>
      </c>
    </row>
    <row r="28" spans="1:7" ht="15">
      <c r="A28" s="298" t="s">
        <v>1235</v>
      </c>
      <c r="F28" s="299">
        <f>'1. melléklet'!L46</f>
        <v>534626</v>
      </c>
      <c r="G28" s="150" t="s">
        <v>1256</v>
      </c>
    </row>
    <row r="29" spans="1:7" ht="15">
      <c r="A29" s="298" t="s">
        <v>1236</v>
      </c>
      <c r="F29" s="299">
        <f>'1. melléklet'!L47</f>
        <v>179678</v>
      </c>
      <c r="G29" s="150" t="s">
        <v>1257</v>
      </c>
    </row>
    <row r="31" ht="15.75">
      <c r="A31" s="150" t="s">
        <v>1250</v>
      </c>
    </row>
    <row r="33" spans="1:9" ht="31.5" customHeight="1">
      <c r="A33" s="330" t="s">
        <v>1379</v>
      </c>
      <c r="B33" s="330"/>
      <c r="C33" s="330"/>
      <c r="D33" s="330"/>
      <c r="E33" s="330"/>
      <c r="F33" s="330"/>
      <c r="G33" s="330"/>
      <c r="H33" s="330"/>
      <c r="I33" s="330"/>
    </row>
    <row r="35" ht="15.75">
      <c r="A35" s="150" t="s">
        <v>1251</v>
      </c>
    </row>
    <row r="36" ht="15">
      <c r="A36" s="298" t="s">
        <v>1241</v>
      </c>
    </row>
    <row r="37" ht="15">
      <c r="A37" s="298" t="s">
        <v>1242</v>
      </c>
    </row>
    <row r="38" ht="15">
      <c r="A38" s="298" t="s">
        <v>1243</v>
      </c>
    </row>
    <row r="39" ht="15">
      <c r="A39" s="298" t="s">
        <v>1244</v>
      </c>
    </row>
    <row r="40" ht="15">
      <c r="A40" s="298" t="s">
        <v>1245</v>
      </c>
    </row>
    <row r="41" ht="15">
      <c r="A41" s="298" t="s">
        <v>1254</v>
      </c>
    </row>
    <row r="42" ht="15">
      <c r="A42" s="298" t="s">
        <v>1255</v>
      </c>
    </row>
    <row r="43" ht="15">
      <c r="A43" s="150" t="s">
        <v>1237</v>
      </c>
    </row>
    <row r="45" spans="1:9" ht="30.75" customHeight="1">
      <c r="A45" s="330" t="s">
        <v>1252</v>
      </c>
      <c r="B45" s="330"/>
      <c r="C45" s="330"/>
      <c r="D45" s="330"/>
      <c r="E45" s="330"/>
      <c r="F45" s="330"/>
      <c r="G45" s="330"/>
      <c r="H45" s="330"/>
      <c r="I45" s="330"/>
    </row>
    <row r="51" ht="15">
      <c r="A51" s="150" t="s">
        <v>1381</v>
      </c>
    </row>
    <row r="55" ht="15">
      <c r="G55" s="297" t="s">
        <v>1103</v>
      </c>
    </row>
    <row r="56" ht="15">
      <c r="G56" s="297" t="s">
        <v>1104</v>
      </c>
    </row>
    <row r="90" spans="1:3" ht="15">
      <c r="A90" s="296" t="s">
        <v>1253</v>
      </c>
      <c r="C90" s="296"/>
    </row>
    <row r="91" ht="15">
      <c r="A91" s="296" t="s">
        <v>1380</v>
      </c>
    </row>
    <row r="92" ht="15">
      <c r="A92" s="296" t="s">
        <v>1246</v>
      </c>
    </row>
  </sheetData>
  <sheetProtection/>
  <mergeCells count="10">
    <mergeCell ref="A25:I25"/>
    <mergeCell ref="A33:I33"/>
    <mergeCell ref="A45:I45"/>
    <mergeCell ref="A9:I9"/>
    <mergeCell ref="A11:I11"/>
    <mergeCell ref="A1:I1"/>
    <mergeCell ref="A3:I3"/>
    <mergeCell ref="A4:I4"/>
    <mergeCell ref="A5:I5"/>
    <mergeCell ref="A6:I6"/>
  </mergeCells>
  <printOptions horizontalCentered="1"/>
  <pageMargins left="0.7086614173228347" right="0.7086614173228347" top="0.7480314960629921" bottom="0.7480314960629921" header="0.31496062992125984" footer="0.31496062992125984"/>
  <pageSetup horizontalDpi="600" verticalDpi="600" orientation="portrait" paperSize="9" scale="93"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F42" sqref="F42"/>
    </sheetView>
  </sheetViews>
  <sheetFormatPr defaultColWidth="9.140625" defaultRowHeight="15"/>
  <cols>
    <col min="1" max="16384" width="9.140625" style="1"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196431" r:id="rId1"/>
  </oleObjects>
</worksheet>
</file>

<file path=xl/worksheets/sheet5.xml><?xml version="1.0" encoding="utf-8"?>
<worksheet xmlns="http://schemas.openxmlformats.org/spreadsheetml/2006/main" xmlns:r="http://schemas.openxmlformats.org/officeDocument/2006/relationships">
  <dimension ref="A2:B14"/>
  <sheetViews>
    <sheetView view="pageBreakPreview" zoomScaleSheetLayoutView="100" zoomScalePageLayoutView="0" workbookViewId="0" topLeftCell="A1">
      <selection activeCell="B24" sqref="B24"/>
    </sheetView>
  </sheetViews>
  <sheetFormatPr defaultColWidth="9.140625" defaultRowHeight="15"/>
  <cols>
    <col min="1" max="1" width="19.8515625" style="1" customWidth="1"/>
    <col min="2" max="2" width="110.57421875" style="1" customWidth="1"/>
    <col min="3" max="16384" width="9.140625" style="1" customWidth="1"/>
  </cols>
  <sheetData>
    <row r="2" spans="1:2" ht="12.75">
      <c r="A2" s="104"/>
      <c r="B2" s="104"/>
    </row>
    <row r="3" spans="1:2" ht="18">
      <c r="A3" s="332" t="s">
        <v>597</v>
      </c>
      <c r="B3" s="332"/>
    </row>
    <row r="4" spans="1:2" ht="12.75">
      <c r="A4" s="104"/>
      <c r="B4" s="104"/>
    </row>
    <row r="5" spans="1:2" ht="12.75">
      <c r="A5" s="104"/>
      <c r="B5" s="104"/>
    </row>
    <row r="6" spans="1:2" ht="12.75">
      <c r="A6" s="104"/>
      <c r="B6" s="104"/>
    </row>
    <row r="7" spans="1:2" ht="12.75">
      <c r="A7" s="104"/>
      <c r="B7" s="104"/>
    </row>
    <row r="8" spans="1:2" ht="33" customHeight="1">
      <c r="A8" s="202" t="s">
        <v>0</v>
      </c>
      <c r="B8" s="2" t="s">
        <v>641</v>
      </c>
    </row>
    <row r="9" spans="1:2" ht="33" customHeight="1">
      <c r="A9" s="202" t="s">
        <v>1</v>
      </c>
      <c r="B9" s="2" t="s">
        <v>642</v>
      </c>
    </row>
    <row r="10" spans="1:2" ht="33" customHeight="1">
      <c r="A10" s="202" t="s">
        <v>2</v>
      </c>
      <c r="B10" s="2" t="s">
        <v>643</v>
      </c>
    </row>
    <row r="11" spans="1:2" ht="33" customHeight="1">
      <c r="A11" s="202" t="s">
        <v>3</v>
      </c>
      <c r="B11" s="2" t="s">
        <v>644</v>
      </c>
    </row>
    <row r="12" spans="1:2" ht="33" customHeight="1">
      <c r="A12" s="202" t="s">
        <v>4</v>
      </c>
      <c r="B12" s="2" t="s">
        <v>645</v>
      </c>
    </row>
    <row r="13" spans="1:2" ht="33" customHeight="1">
      <c r="A13" s="202" t="s">
        <v>5</v>
      </c>
      <c r="B13" s="2" t="s">
        <v>7</v>
      </c>
    </row>
    <row r="14" spans="1:2" ht="60">
      <c r="A14" s="202" t="s">
        <v>6</v>
      </c>
      <c r="B14" s="2" t="s">
        <v>959</v>
      </c>
    </row>
  </sheetData>
  <sheetProtection/>
  <mergeCells count="1">
    <mergeCell ref="A3:B3"/>
  </mergeCells>
  <printOptions horizontalCentered="1"/>
  <pageMargins left="0.7086614173228347" right="0.7086614173228347" top="0.7480314960629921" bottom="0.7480314960629921" header="0.31496062992125984" footer="0.31496062992125984"/>
  <pageSetup firstPageNumber="2" useFirstPageNumber="1" horizontalDpi="600" verticalDpi="600" orientation="portrait" paperSize="8" r:id="rId1"/>
  <headerFooter>
    <oddFooter>&amp;L&amp;D&amp;C&amp;P</oddFooter>
  </headerFooter>
</worksheet>
</file>

<file path=xl/worksheets/sheet6.xml><?xml version="1.0" encoding="utf-8"?>
<worksheet xmlns="http://schemas.openxmlformats.org/spreadsheetml/2006/main" xmlns:r="http://schemas.openxmlformats.org/officeDocument/2006/relationships">
  <dimension ref="A1:L102"/>
  <sheetViews>
    <sheetView view="pageBreakPreview" zoomScaleSheetLayoutView="100" zoomScalePageLayoutView="0" workbookViewId="0" topLeftCell="A1">
      <selection activeCell="L2" sqref="L2"/>
    </sheetView>
  </sheetViews>
  <sheetFormatPr defaultColWidth="9.140625" defaultRowHeight="15"/>
  <cols>
    <col min="1" max="1" width="4.421875" style="67" customWidth="1"/>
    <col min="2" max="2" width="4.140625" style="61" customWidth="1"/>
    <col min="3" max="3" width="5.7109375" style="61" customWidth="1"/>
    <col min="4" max="5" width="8.7109375" style="61" customWidth="1"/>
    <col min="6" max="7" width="10.7109375" style="61" customWidth="1"/>
    <col min="8" max="8" width="78.7109375" style="61" customWidth="1"/>
    <col min="9" max="12" width="20.7109375" style="61" customWidth="1"/>
    <col min="13" max="16384" width="9.140625" style="61" customWidth="1"/>
  </cols>
  <sheetData>
    <row r="1" ht="15" customHeight="1">
      <c r="L1" s="60" t="s">
        <v>1398</v>
      </c>
    </row>
    <row r="2" ht="15" customHeight="1"/>
    <row r="3" ht="15" customHeight="1" thickBot="1">
      <c r="L3" s="60" t="s">
        <v>8</v>
      </c>
    </row>
    <row r="4" spans="1:12" s="65" customFormat="1" ht="15" customHeight="1" thickBot="1">
      <c r="A4" s="64"/>
      <c r="B4" s="66" t="s">
        <v>9</v>
      </c>
      <c r="C4" s="66" t="s">
        <v>10</v>
      </c>
      <c r="D4" s="66" t="s">
        <v>11</v>
      </c>
      <c r="E4" s="338" t="s">
        <v>12</v>
      </c>
      <c r="F4" s="339"/>
      <c r="G4" s="339"/>
      <c r="H4" s="340"/>
      <c r="I4" s="66" t="s">
        <v>13</v>
      </c>
      <c r="J4" s="66" t="s">
        <v>124</v>
      </c>
      <c r="K4" s="66" t="s">
        <v>125</v>
      </c>
      <c r="L4" s="66" t="s">
        <v>126</v>
      </c>
    </row>
    <row r="5" spans="1:12" ht="30" customHeight="1" thickBot="1">
      <c r="A5" s="64" t="s">
        <v>20</v>
      </c>
      <c r="B5" s="341" t="s">
        <v>646</v>
      </c>
      <c r="C5" s="342"/>
      <c r="D5" s="342"/>
      <c r="E5" s="342"/>
      <c r="F5" s="342"/>
      <c r="G5" s="342"/>
      <c r="H5" s="342"/>
      <c r="I5" s="342"/>
      <c r="J5" s="342"/>
      <c r="K5" s="342"/>
      <c r="L5" s="343"/>
    </row>
    <row r="6" spans="1:12" ht="60" customHeight="1" thickBot="1">
      <c r="A6" s="64" t="s">
        <v>21</v>
      </c>
      <c r="B6" s="353" t="s">
        <v>123</v>
      </c>
      <c r="C6" s="353"/>
      <c r="D6" s="353"/>
      <c r="E6" s="353"/>
      <c r="F6" s="353"/>
      <c r="G6" s="353"/>
      <c r="H6" s="353"/>
      <c r="I6" s="105" t="s">
        <v>119</v>
      </c>
      <c r="J6" s="105" t="s">
        <v>120</v>
      </c>
      <c r="K6" s="105" t="s">
        <v>121</v>
      </c>
      <c r="L6" s="105" t="s">
        <v>122</v>
      </c>
    </row>
    <row r="7" spans="1:12" s="134" customFormat="1" ht="15" customHeight="1" thickBot="1">
      <c r="A7" s="64" t="s">
        <v>22</v>
      </c>
      <c r="B7" s="130" t="s">
        <v>99</v>
      </c>
      <c r="C7" s="131" t="s">
        <v>100</v>
      </c>
      <c r="D7" s="132"/>
      <c r="E7" s="132"/>
      <c r="F7" s="132"/>
      <c r="G7" s="132"/>
      <c r="H7" s="132"/>
      <c r="I7" s="133">
        <f>'2. melléklet'!DC7</f>
        <v>3210536</v>
      </c>
      <c r="J7" s="182">
        <f>'3. melléklet'!AD7</f>
        <v>28836</v>
      </c>
      <c r="K7" s="182">
        <f>'4. melléklet'!O7</f>
        <v>260816</v>
      </c>
      <c r="L7" s="182">
        <f>SUM(I7:K7)</f>
        <v>3500188</v>
      </c>
    </row>
    <row r="8" spans="1:12" s="134" customFormat="1" ht="15" customHeight="1" thickBot="1">
      <c r="A8" s="64" t="s">
        <v>23</v>
      </c>
      <c r="B8" s="135"/>
      <c r="C8" s="136" t="s">
        <v>101</v>
      </c>
      <c r="D8" s="140" t="s">
        <v>564</v>
      </c>
      <c r="E8" s="141"/>
      <c r="F8" s="141"/>
      <c r="G8" s="141"/>
      <c r="H8" s="141"/>
      <c r="I8" s="142">
        <f>'2. melléklet'!DC8</f>
        <v>969589</v>
      </c>
      <c r="J8" s="185">
        <f>'3. melléklet'!AD8</f>
        <v>18987</v>
      </c>
      <c r="K8" s="185">
        <f>'4. melléklet'!O8</f>
        <v>3000</v>
      </c>
      <c r="L8" s="185">
        <f aca="true" t="shared" si="0" ref="L8:L49">SUM(I8:K8)</f>
        <v>991576</v>
      </c>
    </row>
    <row r="9" spans="1:12" s="110" customFormat="1" ht="15" customHeight="1" thickBot="1">
      <c r="A9" s="64" t="s">
        <v>24</v>
      </c>
      <c r="B9" s="109"/>
      <c r="C9" s="112"/>
      <c r="D9" s="95" t="s">
        <v>653</v>
      </c>
      <c r="E9" s="364" t="s">
        <v>652</v>
      </c>
      <c r="F9" s="364"/>
      <c r="G9" s="364"/>
      <c r="H9" s="365"/>
      <c r="I9" s="108">
        <f>'2. melléklet'!DC9</f>
        <v>819975</v>
      </c>
      <c r="J9" s="181">
        <f>'3. melléklet'!AD9</f>
        <v>0</v>
      </c>
      <c r="K9" s="181">
        <f>'4. melléklet'!O9</f>
        <v>0</v>
      </c>
      <c r="L9" s="181">
        <f t="shared" si="0"/>
        <v>819975</v>
      </c>
    </row>
    <row r="10" spans="1:12" s="110" customFormat="1" ht="15" customHeight="1" thickBot="1">
      <c r="A10" s="64" t="s">
        <v>25</v>
      </c>
      <c r="B10" s="109"/>
      <c r="C10" s="112"/>
      <c r="D10" s="113" t="s">
        <v>1365</v>
      </c>
      <c r="E10" s="308" t="s">
        <v>1169</v>
      </c>
      <c r="F10" s="307"/>
      <c r="G10" s="307"/>
      <c r="H10" s="307"/>
      <c r="I10" s="108">
        <f>'2. melléklet'!DC10</f>
        <v>5917</v>
      </c>
      <c r="J10" s="181">
        <f>'3. melléklet'!AD10</f>
        <v>0</v>
      </c>
      <c r="K10" s="181">
        <f>'4. melléklet'!O10</f>
        <v>0</v>
      </c>
      <c r="L10" s="181">
        <f t="shared" si="0"/>
        <v>5917</v>
      </c>
    </row>
    <row r="11" spans="1:12" s="110" customFormat="1" ht="15" customHeight="1" thickBot="1">
      <c r="A11" s="64" t="s">
        <v>26</v>
      </c>
      <c r="B11" s="109"/>
      <c r="C11" s="112"/>
      <c r="D11" s="95" t="s">
        <v>654</v>
      </c>
      <c r="E11" s="107" t="s">
        <v>655</v>
      </c>
      <c r="F11" s="114"/>
      <c r="G11" s="114"/>
      <c r="H11" s="107"/>
      <c r="I11" s="108">
        <f>'2. melléklet'!DC11</f>
        <v>143697</v>
      </c>
      <c r="J11" s="181">
        <f>'3. melléklet'!AD11</f>
        <v>18987</v>
      </c>
      <c r="K11" s="181">
        <f>'4. melléklet'!O11</f>
        <v>3000</v>
      </c>
      <c r="L11" s="181">
        <f t="shared" si="0"/>
        <v>165684</v>
      </c>
    </row>
    <row r="12" spans="1:12" s="134" customFormat="1" ht="15" customHeight="1" thickBot="1">
      <c r="A12" s="64" t="s">
        <v>27</v>
      </c>
      <c r="B12" s="135"/>
      <c r="C12" s="136" t="s">
        <v>103</v>
      </c>
      <c r="D12" s="137" t="s">
        <v>102</v>
      </c>
      <c r="E12" s="138"/>
      <c r="F12" s="138"/>
      <c r="G12" s="138"/>
      <c r="H12" s="138"/>
      <c r="I12" s="139">
        <f>'2. melléklet'!DC12</f>
        <v>2075790</v>
      </c>
      <c r="J12" s="183">
        <f>'3. melléklet'!AD12</f>
        <v>150</v>
      </c>
      <c r="K12" s="183">
        <f>'4. melléklet'!O12</f>
        <v>0</v>
      </c>
      <c r="L12" s="183">
        <f t="shared" si="0"/>
        <v>2075940</v>
      </c>
    </row>
    <row r="13" spans="1:12" s="56" customFormat="1" ht="15" customHeight="1" thickBot="1">
      <c r="A13" s="64" t="s">
        <v>28</v>
      </c>
      <c r="B13" s="53"/>
      <c r="C13" s="54"/>
      <c r="D13" s="106" t="s">
        <v>660</v>
      </c>
      <c r="E13" s="107" t="s">
        <v>661</v>
      </c>
      <c r="F13" s="55"/>
      <c r="G13" s="55"/>
      <c r="H13" s="55"/>
      <c r="I13" s="108">
        <f>'2. melléklet'!DC13</f>
        <v>30</v>
      </c>
      <c r="J13" s="181">
        <f>'3. melléklet'!AD13</f>
        <v>0</v>
      </c>
      <c r="K13" s="181">
        <f>'4. melléklet'!O13</f>
        <v>0</v>
      </c>
      <c r="L13" s="181">
        <f t="shared" si="0"/>
        <v>30</v>
      </c>
    </row>
    <row r="14" spans="1:12" s="56" customFormat="1" ht="15" customHeight="1" thickBot="1">
      <c r="A14" s="64" t="s">
        <v>29</v>
      </c>
      <c r="B14" s="53"/>
      <c r="C14" s="54"/>
      <c r="D14" s="95" t="s">
        <v>662</v>
      </c>
      <c r="E14" s="107" t="s">
        <v>663</v>
      </c>
      <c r="F14" s="55"/>
      <c r="G14" s="55"/>
      <c r="H14" s="55"/>
      <c r="I14" s="108">
        <f>'2. melléklet'!DC14</f>
        <v>18640</v>
      </c>
      <c r="J14" s="181">
        <f>'3. melléklet'!AD14</f>
        <v>0</v>
      </c>
      <c r="K14" s="181">
        <f>'4. melléklet'!O14</f>
        <v>0</v>
      </c>
      <c r="L14" s="181">
        <f t="shared" si="0"/>
        <v>18640</v>
      </c>
    </row>
    <row r="15" spans="1:12" s="56" customFormat="1" ht="15" customHeight="1" thickBot="1">
      <c r="A15" s="64" t="s">
        <v>30</v>
      </c>
      <c r="B15" s="53"/>
      <c r="C15" s="54"/>
      <c r="D15" s="95" t="s">
        <v>664</v>
      </c>
      <c r="E15" s="107" t="s">
        <v>665</v>
      </c>
      <c r="F15" s="55"/>
      <c r="G15" s="55"/>
      <c r="H15" s="55"/>
      <c r="I15" s="108">
        <f>'2. melléklet'!DC15</f>
        <v>2000000</v>
      </c>
      <c r="J15" s="181">
        <f>'3. melléklet'!AD15</f>
        <v>0</v>
      </c>
      <c r="K15" s="181">
        <f>'4. melléklet'!O15</f>
        <v>0</v>
      </c>
      <c r="L15" s="181">
        <f t="shared" si="0"/>
        <v>2000000</v>
      </c>
    </row>
    <row r="16" spans="1:12" s="56" customFormat="1" ht="15" customHeight="1" thickBot="1">
      <c r="A16" s="64" t="s">
        <v>31</v>
      </c>
      <c r="B16" s="53"/>
      <c r="C16" s="54"/>
      <c r="D16" s="95" t="s">
        <v>666</v>
      </c>
      <c r="E16" s="107" t="s">
        <v>667</v>
      </c>
      <c r="F16" s="55"/>
      <c r="G16" s="55"/>
      <c r="H16" s="55"/>
      <c r="I16" s="108">
        <f>'2. melléklet'!DC16</f>
        <v>46000</v>
      </c>
      <c r="J16" s="181">
        <f>'3. melléklet'!AD16</f>
        <v>0</v>
      </c>
      <c r="K16" s="181">
        <f>'4. melléklet'!O16</f>
        <v>0</v>
      </c>
      <c r="L16" s="181">
        <f t="shared" si="0"/>
        <v>46000</v>
      </c>
    </row>
    <row r="17" spans="1:12" s="56" customFormat="1" ht="15" customHeight="1" thickBot="1">
      <c r="A17" s="64" t="s">
        <v>32</v>
      </c>
      <c r="B17" s="53"/>
      <c r="C17" s="54"/>
      <c r="D17" s="95" t="s">
        <v>668</v>
      </c>
      <c r="E17" s="107" t="s">
        <v>669</v>
      </c>
      <c r="F17" s="55"/>
      <c r="G17" s="55"/>
      <c r="H17" s="55"/>
      <c r="I17" s="108">
        <f>'2. melléklet'!DC17</f>
        <v>6500</v>
      </c>
      <c r="J17" s="181">
        <f>'3. melléklet'!AD17</f>
        <v>0</v>
      </c>
      <c r="K17" s="181">
        <f>'4. melléklet'!O17</f>
        <v>0</v>
      </c>
      <c r="L17" s="181">
        <f t="shared" si="0"/>
        <v>6500</v>
      </c>
    </row>
    <row r="18" spans="1:12" s="56" customFormat="1" ht="15" customHeight="1" thickBot="1">
      <c r="A18" s="64" t="s">
        <v>33</v>
      </c>
      <c r="B18" s="53"/>
      <c r="C18" s="54"/>
      <c r="D18" s="111" t="s">
        <v>670</v>
      </c>
      <c r="E18" s="107" t="s">
        <v>563</v>
      </c>
      <c r="F18" s="55"/>
      <c r="G18" s="55"/>
      <c r="H18" s="55"/>
      <c r="I18" s="108">
        <f>'2. melléklet'!DC18</f>
        <v>4620</v>
      </c>
      <c r="J18" s="181">
        <f>'3. melléklet'!AD18</f>
        <v>150</v>
      </c>
      <c r="K18" s="181">
        <f>'4. melléklet'!O18</f>
        <v>0</v>
      </c>
      <c r="L18" s="181">
        <f t="shared" si="0"/>
        <v>4770</v>
      </c>
    </row>
    <row r="19" spans="1:12" s="134" customFormat="1" ht="15" customHeight="1" thickBot="1">
      <c r="A19" s="64" t="s">
        <v>34</v>
      </c>
      <c r="B19" s="135"/>
      <c r="C19" s="136" t="s">
        <v>104</v>
      </c>
      <c r="D19" s="137" t="s">
        <v>100</v>
      </c>
      <c r="E19" s="138"/>
      <c r="F19" s="138"/>
      <c r="G19" s="138"/>
      <c r="H19" s="138"/>
      <c r="I19" s="139">
        <f>'2. melléklet'!DC19</f>
        <v>159057</v>
      </c>
      <c r="J19" s="183">
        <f>'3. melléklet'!AD19</f>
        <v>9699</v>
      </c>
      <c r="K19" s="183">
        <f>'4. melléklet'!O19</f>
        <v>257816</v>
      </c>
      <c r="L19" s="183">
        <f t="shared" si="0"/>
        <v>426572</v>
      </c>
    </row>
    <row r="20" spans="1:12" s="110" customFormat="1" ht="15" customHeight="1" thickBot="1">
      <c r="A20" s="64" t="s">
        <v>35</v>
      </c>
      <c r="B20" s="109"/>
      <c r="C20" s="112"/>
      <c r="D20" s="113" t="s">
        <v>671</v>
      </c>
      <c r="E20" s="107" t="s">
        <v>680</v>
      </c>
      <c r="F20" s="107"/>
      <c r="G20" s="107"/>
      <c r="H20" s="97"/>
      <c r="I20" s="108">
        <f>'2. melléklet'!DC20</f>
        <v>394</v>
      </c>
      <c r="J20" s="181">
        <f>'3. melléklet'!AD20</f>
        <v>0</v>
      </c>
      <c r="K20" s="181">
        <f>'4. melléklet'!O20</f>
        <v>100</v>
      </c>
      <c r="L20" s="181">
        <f t="shared" si="0"/>
        <v>494</v>
      </c>
    </row>
    <row r="21" spans="1:12" s="110" customFormat="1" ht="15" customHeight="1" thickBot="1">
      <c r="A21" s="64" t="s">
        <v>36</v>
      </c>
      <c r="B21" s="109"/>
      <c r="C21" s="112"/>
      <c r="D21" s="113" t="s">
        <v>672</v>
      </c>
      <c r="E21" s="107" t="s">
        <v>681</v>
      </c>
      <c r="F21" s="107"/>
      <c r="G21" s="107"/>
      <c r="H21" s="97"/>
      <c r="I21" s="108">
        <f>'2. melléklet'!DC21</f>
        <v>24186</v>
      </c>
      <c r="J21" s="181">
        <f>'3. melléklet'!AD21</f>
        <v>582</v>
      </c>
      <c r="K21" s="181">
        <f>'4. melléklet'!O21</f>
        <v>139247</v>
      </c>
      <c r="L21" s="181">
        <f t="shared" si="0"/>
        <v>164015</v>
      </c>
    </row>
    <row r="22" spans="1:12" s="110" customFormat="1" ht="15" customHeight="1" thickBot="1">
      <c r="A22" s="64" t="s">
        <v>37</v>
      </c>
      <c r="B22" s="109"/>
      <c r="C22" s="112"/>
      <c r="D22" s="113" t="s">
        <v>673</v>
      </c>
      <c r="E22" s="97" t="s">
        <v>682</v>
      </c>
      <c r="F22" s="97"/>
      <c r="G22" s="97"/>
      <c r="H22" s="97"/>
      <c r="I22" s="108">
        <f>'2. melléklet'!DC22</f>
        <v>1938</v>
      </c>
      <c r="J22" s="181">
        <f>'3. melléklet'!AD22</f>
        <v>7087</v>
      </c>
      <c r="K22" s="181">
        <f>'4. melléklet'!O22</f>
        <v>250</v>
      </c>
      <c r="L22" s="181">
        <f t="shared" si="0"/>
        <v>9275</v>
      </c>
    </row>
    <row r="23" spans="1:12" s="110" customFormat="1" ht="15" customHeight="1" thickBot="1">
      <c r="A23" s="64" t="s">
        <v>38</v>
      </c>
      <c r="B23" s="109"/>
      <c r="C23" s="112"/>
      <c r="D23" s="113" t="s">
        <v>674</v>
      </c>
      <c r="E23" s="97" t="s">
        <v>683</v>
      </c>
      <c r="F23" s="107"/>
      <c r="G23" s="107"/>
      <c r="H23" s="107"/>
      <c r="I23" s="108">
        <f>'2. melléklet'!DC23</f>
        <v>87096</v>
      </c>
      <c r="J23" s="181">
        <f>'3. melléklet'!AD23</f>
        <v>0</v>
      </c>
      <c r="K23" s="181">
        <f>'4. melléklet'!O23</f>
        <v>0</v>
      </c>
      <c r="L23" s="181">
        <f t="shared" si="0"/>
        <v>87096</v>
      </c>
    </row>
    <row r="24" spans="1:12" s="110" customFormat="1" ht="15" customHeight="1" thickBot="1">
      <c r="A24" s="64" t="s">
        <v>39</v>
      </c>
      <c r="B24" s="109"/>
      <c r="C24" s="112"/>
      <c r="D24" s="113" t="s">
        <v>675</v>
      </c>
      <c r="E24" s="97" t="s">
        <v>684</v>
      </c>
      <c r="F24" s="107"/>
      <c r="G24" s="107"/>
      <c r="H24" s="107"/>
      <c r="I24" s="108">
        <f>'2. melléklet'!DC24</f>
        <v>0</v>
      </c>
      <c r="J24" s="181">
        <f>'3. melléklet'!AD24</f>
        <v>0</v>
      </c>
      <c r="K24" s="181">
        <f>'4. melléklet'!O24</f>
        <v>53114</v>
      </c>
      <c r="L24" s="181">
        <f t="shared" si="0"/>
        <v>53114</v>
      </c>
    </row>
    <row r="25" spans="1:12" s="110" customFormat="1" ht="15" customHeight="1" thickBot="1">
      <c r="A25" s="64" t="s">
        <v>41</v>
      </c>
      <c r="B25" s="109"/>
      <c r="C25" s="112"/>
      <c r="D25" s="113" t="s">
        <v>676</v>
      </c>
      <c r="E25" s="97" t="s">
        <v>685</v>
      </c>
      <c r="F25" s="107"/>
      <c r="G25" s="107"/>
      <c r="H25" s="107"/>
      <c r="I25" s="108">
        <f>'2. melléklet'!DC25</f>
        <v>33093</v>
      </c>
      <c r="J25" s="181">
        <f>'3. melléklet'!AD25</f>
        <v>2030</v>
      </c>
      <c r="K25" s="181">
        <f>'4. melléklet'!O25</f>
        <v>55166</v>
      </c>
      <c r="L25" s="181">
        <f t="shared" si="0"/>
        <v>90289</v>
      </c>
    </row>
    <row r="26" spans="1:12" s="110" customFormat="1" ht="15" customHeight="1" thickBot="1">
      <c r="A26" s="64" t="s">
        <v>42</v>
      </c>
      <c r="B26" s="109"/>
      <c r="C26" s="112"/>
      <c r="D26" s="113" t="s">
        <v>677</v>
      </c>
      <c r="E26" s="97" t="s">
        <v>686</v>
      </c>
      <c r="F26" s="107"/>
      <c r="G26" s="107"/>
      <c r="H26" s="107"/>
      <c r="I26" s="108">
        <f>'2. melléklet'!DC26</f>
        <v>3050</v>
      </c>
      <c r="J26" s="181">
        <f>'3. melléklet'!AD26</f>
        <v>0</v>
      </c>
      <c r="K26" s="181">
        <f>'4. melléklet'!O26</f>
        <v>9916</v>
      </c>
      <c r="L26" s="181">
        <f t="shared" si="0"/>
        <v>12966</v>
      </c>
    </row>
    <row r="27" spans="1:12" s="110" customFormat="1" ht="15" customHeight="1" thickBot="1">
      <c r="A27" s="64" t="s">
        <v>44</v>
      </c>
      <c r="B27" s="109"/>
      <c r="C27" s="112"/>
      <c r="D27" s="113" t="s">
        <v>678</v>
      </c>
      <c r="E27" s="97" t="s">
        <v>687</v>
      </c>
      <c r="F27" s="107"/>
      <c r="G27" s="107"/>
      <c r="H27" s="107"/>
      <c r="I27" s="108">
        <f>'2. melléklet'!DC27</f>
        <v>9000</v>
      </c>
      <c r="J27" s="181">
        <f>'3. melléklet'!AD27</f>
        <v>0</v>
      </c>
      <c r="K27" s="181">
        <f>'4. melléklet'!O27</f>
        <v>23</v>
      </c>
      <c r="L27" s="181">
        <f t="shared" si="0"/>
        <v>9023</v>
      </c>
    </row>
    <row r="28" spans="1:12" s="110" customFormat="1" ht="15" customHeight="1" thickBot="1">
      <c r="A28" s="64" t="s">
        <v>45</v>
      </c>
      <c r="B28" s="109"/>
      <c r="C28" s="112"/>
      <c r="D28" s="113" t="s">
        <v>679</v>
      </c>
      <c r="E28" s="97" t="s">
        <v>688</v>
      </c>
      <c r="F28" s="107"/>
      <c r="G28" s="107"/>
      <c r="H28" s="107"/>
      <c r="I28" s="108">
        <f>'2. melléklet'!DC28</f>
        <v>300</v>
      </c>
      <c r="J28" s="181">
        <f>'3. melléklet'!AD28</f>
        <v>0</v>
      </c>
      <c r="K28" s="181">
        <f>'4. melléklet'!O28</f>
        <v>0</v>
      </c>
      <c r="L28" s="181">
        <f t="shared" si="0"/>
        <v>300</v>
      </c>
    </row>
    <row r="29" spans="1:12" s="134" customFormat="1" ht="15" customHeight="1" thickBot="1">
      <c r="A29" s="64" t="s">
        <v>46</v>
      </c>
      <c r="B29" s="135"/>
      <c r="C29" s="136" t="s">
        <v>105</v>
      </c>
      <c r="D29" s="140" t="s">
        <v>565</v>
      </c>
      <c r="E29" s="141"/>
      <c r="F29" s="138"/>
      <c r="G29" s="138"/>
      <c r="H29" s="138"/>
      <c r="I29" s="139">
        <f>'2. melléklet'!DC29</f>
        <v>6100</v>
      </c>
      <c r="J29" s="183">
        <f>'3. melléklet'!AD29</f>
        <v>0</v>
      </c>
      <c r="K29" s="183">
        <f>'4. melléklet'!O29</f>
        <v>0</v>
      </c>
      <c r="L29" s="183">
        <f t="shared" si="0"/>
        <v>6100</v>
      </c>
    </row>
    <row r="30" spans="1:12" s="96" customFormat="1" ht="15" customHeight="1" thickBot="1">
      <c r="A30" s="64" t="s">
        <v>48</v>
      </c>
      <c r="B30" s="94"/>
      <c r="C30" s="115"/>
      <c r="D30" s="95" t="s">
        <v>693</v>
      </c>
      <c r="E30" s="97" t="s">
        <v>691</v>
      </c>
      <c r="F30" s="116"/>
      <c r="G30" s="98"/>
      <c r="H30" s="98"/>
      <c r="I30" s="108">
        <f>'2. melléklet'!DC30</f>
        <v>6100</v>
      </c>
      <c r="J30" s="181">
        <f>'3. melléklet'!AD30</f>
        <v>0</v>
      </c>
      <c r="K30" s="181">
        <f>'4. melléklet'!O30</f>
        <v>0</v>
      </c>
      <c r="L30" s="181">
        <f t="shared" si="0"/>
        <v>6100</v>
      </c>
    </row>
    <row r="31" spans="1:12" s="96" customFormat="1" ht="15" customHeight="1" thickBot="1">
      <c r="A31" s="64" t="s">
        <v>49</v>
      </c>
      <c r="B31" s="94"/>
      <c r="C31" s="115"/>
      <c r="D31" s="95" t="s">
        <v>694</v>
      </c>
      <c r="E31" s="97" t="s">
        <v>692</v>
      </c>
      <c r="F31" s="116"/>
      <c r="G31" s="98"/>
      <c r="H31" s="98"/>
      <c r="I31" s="108">
        <f>'2. melléklet'!DC31</f>
        <v>0</v>
      </c>
      <c r="J31" s="181">
        <f>'3. melléklet'!AD31</f>
        <v>0</v>
      </c>
      <c r="K31" s="181">
        <f>'4. melléklet'!O31</f>
        <v>0</v>
      </c>
      <c r="L31" s="181">
        <f t="shared" si="0"/>
        <v>0</v>
      </c>
    </row>
    <row r="32" spans="1:12" s="134" customFormat="1" ht="15" customHeight="1" thickBot="1">
      <c r="A32" s="64" t="s">
        <v>50</v>
      </c>
      <c r="B32" s="130" t="s">
        <v>107</v>
      </c>
      <c r="C32" s="131" t="s">
        <v>108</v>
      </c>
      <c r="D32" s="131"/>
      <c r="E32" s="131"/>
      <c r="F32" s="131"/>
      <c r="G32" s="131"/>
      <c r="H32" s="131"/>
      <c r="I32" s="133">
        <f>'2. melléklet'!DC32</f>
        <v>1573862</v>
      </c>
      <c r="J32" s="182">
        <f>'3. melléklet'!AD32</f>
        <v>0</v>
      </c>
      <c r="K32" s="182">
        <f>'4. melléklet'!O32</f>
        <v>581</v>
      </c>
      <c r="L32" s="182">
        <f t="shared" si="0"/>
        <v>1574443</v>
      </c>
    </row>
    <row r="33" spans="1:12" s="134" customFormat="1" ht="15" customHeight="1" thickBot="1">
      <c r="A33" s="64" t="s">
        <v>51</v>
      </c>
      <c r="B33" s="135"/>
      <c r="C33" s="143" t="s">
        <v>109</v>
      </c>
      <c r="D33" s="145" t="s">
        <v>566</v>
      </c>
      <c r="E33" s="140"/>
      <c r="F33" s="141"/>
      <c r="G33" s="141"/>
      <c r="H33" s="141"/>
      <c r="I33" s="142">
        <f>'2. melléklet'!DC33</f>
        <v>1561783</v>
      </c>
      <c r="J33" s="185">
        <f>'3. melléklet'!AD33</f>
        <v>0</v>
      </c>
      <c r="K33" s="185">
        <f>'4. melléklet'!O33</f>
        <v>581</v>
      </c>
      <c r="L33" s="185">
        <f t="shared" si="0"/>
        <v>1562364</v>
      </c>
    </row>
    <row r="34" spans="1:12" s="110" customFormat="1" ht="15" customHeight="1" thickBot="1">
      <c r="A34" s="64" t="s">
        <v>53</v>
      </c>
      <c r="B34" s="109"/>
      <c r="C34" s="112"/>
      <c r="D34" s="95" t="s">
        <v>656</v>
      </c>
      <c r="E34" s="107" t="s">
        <v>657</v>
      </c>
      <c r="F34" s="107"/>
      <c r="G34" s="107"/>
      <c r="H34" s="107"/>
      <c r="I34" s="108">
        <f>'2. melléklet'!DC34</f>
        <v>349278</v>
      </c>
      <c r="J34" s="181">
        <f>'3. melléklet'!AD34</f>
        <v>0</v>
      </c>
      <c r="K34" s="181">
        <f>'4. melléklet'!O34</f>
        <v>0</v>
      </c>
      <c r="L34" s="181">
        <f t="shared" si="0"/>
        <v>349278</v>
      </c>
    </row>
    <row r="35" spans="1:12" s="110" customFormat="1" ht="15" customHeight="1" thickBot="1">
      <c r="A35" s="64" t="s">
        <v>54</v>
      </c>
      <c r="B35" s="109"/>
      <c r="C35" s="95"/>
      <c r="D35" s="95" t="s">
        <v>658</v>
      </c>
      <c r="E35" s="107" t="s">
        <v>659</v>
      </c>
      <c r="F35" s="114"/>
      <c r="G35" s="114"/>
      <c r="H35" s="107"/>
      <c r="I35" s="108">
        <f>'2. melléklet'!DC35</f>
        <v>1212505</v>
      </c>
      <c r="J35" s="181">
        <f>'3. melléklet'!AD35</f>
        <v>0</v>
      </c>
      <c r="K35" s="181">
        <f>'4. melléklet'!O35</f>
        <v>581</v>
      </c>
      <c r="L35" s="181">
        <f t="shared" si="0"/>
        <v>1213086</v>
      </c>
    </row>
    <row r="36" spans="1:12" s="134" customFormat="1" ht="15" customHeight="1" thickBot="1">
      <c r="A36" s="64" t="s">
        <v>55</v>
      </c>
      <c r="B36" s="135"/>
      <c r="C36" s="143" t="s">
        <v>110</v>
      </c>
      <c r="D36" s="144" t="s">
        <v>108</v>
      </c>
      <c r="E36" s="137"/>
      <c r="F36" s="138"/>
      <c r="G36" s="138"/>
      <c r="H36" s="138"/>
      <c r="I36" s="139">
        <f>'2. melléklet'!DC36</f>
        <v>9779</v>
      </c>
      <c r="J36" s="183">
        <f>'3. melléklet'!AD36</f>
        <v>0</v>
      </c>
      <c r="K36" s="183">
        <f>'4. melléklet'!O36</f>
        <v>0</v>
      </c>
      <c r="L36" s="183">
        <f t="shared" si="0"/>
        <v>9779</v>
      </c>
    </row>
    <row r="37" spans="1:12" s="110" customFormat="1" ht="15" customHeight="1" thickBot="1">
      <c r="A37" s="64" t="s">
        <v>56</v>
      </c>
      <c r="B37" s="109"/>
      <c r="C37" s="112"/>
      <c r="D37" s="95" t="s">
        <v>695</v>
      </c>
      <c r="E37" s="107" t="s">
        <v>689</v>
      </c>
      <c r="F37" s="107"/>
      <c r="G37" s="107"/>
      <c r="H37" s="107"/>
      <c r="I37" s="108">
        <f>'2. melléklet'!DC37</f>
        <v>9779</v>
      </c>
      <c r="J37" s="181">
        <f>'3. melléklet'!AD37</f>
        <v>0</v>
      </c>
      <c r="K37" s="181">
        <f>'4. melléklet'!O37</f>
        <v>0</v>
      </c>
      <c r="L37" s="181">
        <f t="shared" si="0"/>
        <v>9779</v>
      </c>
    </row>
    <row r="38" spans="1:12" s="110" customFormat="1" ht="15" customHeight="1" thickBot="1">
      <c r="A38" s="64" t="s">
        <v>57</v>
      </c>
      <c r="B38" s="109"/>
      <c r="C38" s="112"/>
      <c r="D38" s="95" t="s">
        <v>696</v>
      </c>
      <c r="E38" s="107" t="s">
        <v>690</v>
      </c>
      <c r="F38" s="97"/>
      <c r="G38" s="97"/>
      <c r="H38" s="97"/>
      <c r="I38" s="108">
        <f>'2. melléklet'!DC38</f>
        <v>0</v>
      </c>
      <c r="J38" s="181">
        <f>'3. melléklet'!AD38</f>
        <v>0</v>
      </c>
      <c r="K38" s="181">
        <f>'4. melléklet'!O38</f>
        <v>0</v>
      </c>
      <c r="L38" s="181">
        <f t="shared" si="0"/>
        <v>0</v>
      </c>
    </row>
    <row r="39" spans="1:12" s="134" customFormat="1" ht="15" customHeight="1" thickBot="1">
      <c r="A39" s="64" t="s">
        <v>58</v>
      </c>
      <c r="B39" s="135"/>
      <c r="C39" s="143" t="s">
        <v>111</v>
      </c>
      <c r="D39" s="140" t="s">
        <v>567</v>
      </c>
      <c r="E39" s="146"/>
      <c r="F39" s="141"/>
      <c r="G39" s="141"/>
      <c r="H39" s="141"/>
      <c r="I39" s="142">
        <f>'2. melléklet'!DC39</f>
        <v>2300</v>
      </c>
      <c r="J39" s="185">
        <f>'3. melléklet'!AD39</f>
        <v>0</v>
      </c>
      <c r="K39" s="185">
        <f>'4. melléklet'!O39</f>
        <v>0</v>
      </c>
      <c r="L39" s="185">
        <f t="shared" si="0"/>
        <v>2300</v>
      </c>
    </row>
    <row r="40" spans="1:12" s="110" customFormat="1" ht="15" customHeight="1" thickBot="1">
      <c r="A40" s="64" t="s">
        <v>59</v>
      </c>
      <c r="B40" s="109"/>
      <c r="C40" s="112"/>
      <c r="D40" s="95" t="s">
        <v>697</v>
      </c>
      <c r="E40" s="97" t="s">
        <v>568</v>
      </c>
      <c r="F40" s="97"/>
      <c r="G40" s="97"/>
      <c r="H40" s="97"/>
      <c r="I40" s="99">
        <f>'2. melléklet'!DC40</f>
        <v>2300</v>
      </c>
      <c r="J40" s="100">
        <f>'3. melléklet'!AD40</f>
        <v>0</v>
      </c>
      <c r="K40" s="100">
        <f>'4. melléklet'!O40</f>
        <v>0</v>
      </c>
      <c r="L40" s="100">
        <f t="shared" si="0"/>
        <v>2300</v>
      </c>
    </row>
    <row r="41" spans="1:12" s="134" customFormat="1" ht="30" customHeight="1" thickBot="1">
      <c r="A41" s="64" t="s">
        <v>60</v>
      </c>
      <c r="B41" s="361" t="s">
        <v>591</v>
      </c>
      <c r="C41" s="362"/>
      <c r="D41" s="362"/>
      <c r="E41" s="362"/>
      <c r="F41" s="362"/>
      <c r="G41" s="362"/>
      <c r="H41" s="362"/>
      <c r="I41" s="147">
        <f>'2. melléklet'!DC41</f>
        <v>4784398</v>
      </c>
      <c r="J41" s="184">
        <f>'3. melléklet'!AD41</f>
        <v>28836</v>
      </c>
      <c r="K41" s="184">
        <f>'4. melléklet'!O41</f>
        <v>261397</v>
      </c>
      <c r="L41" s="184">
        <f t="shared" si="0"/>
        <v>5074631</v>
      </c>
    </row>
    <row r="42" spans="1:12" s="149" customFormat="1" ht="15" customHeight="1" thickBot="1">
      <c r="A42" s="64" t="s">
        <v>61</v>
      </c>
      <c r="B42" s="130" t="s">
        <v>112</v>
      </c>
      <c r="C42" s="363" t="s">
        <v>569</v>
      </c>
      <c r="D42" s="363"/>
      <c r="E42" s="363"/>
      <c r="F42" s="363"/>
      <c r="G42" s="363"/>
      <c r="H42" s="363"/>
      <c r="I42" s="133">
        <f>'2. melléklet'!DC42</f>
        <v>609105</v>
      </c>
      <c r="J42" s="182">
        <f>'3. melléklet'!AD42</f>
        <v>502956</v>
      </c>
      <c r="K42" s="182">
        <f>'4. melléklet'!O42</f>
        <v>857198</v>
      </c>
      <c r="L42" s="182">
        <f t="shared" si="0"/>
        <v>1969259</v>
      </c>
    </row>
    <row r="43" spans="1:12" s="149" customFormat="1" ht="15" customHeight="1" thickBot="1">
      <c r="A43" s="64" t="s">
        <v>62</v>
      </c>
      <c r="B43" s="148"/>
      <c r="C43" s="136" t="s">
        <v>113</v>
      </c>
      <c r="D43" s="137" t="s">
        <v>570</v>
      </c>
      <c r="E43" s="137"/>
      <c r="F43" s="137"/>
      <c r="G43" s="137"/>
      <c r="H43" s="137"/>
      <c r="I43" s="139">
        <f>'2. melléklet'!DC43</f>
        <v>0</v>
      </c>
      <c r="J43" s="183">
        <f>'3. melléklet'!AD43</f>
        <v>0</v>
      </c>
      <c r="K43" s="183">
        <f>'4. melléklet'!O43</f>
        <v>0</v>
      </c>
      <c r="L43" s="183">
        <f t="shared" si="0"/>
        <v>0</v>
      </c>
    </row>
    <row r="44" spans="1:12" s="110" customFormat="1" ht="15" customHeight="1" thickBot="1">
      <c r="A44" s="64" t="s">
        <v>64</v>
      </c>
      <c r="B44" s="109"/>
      <c r="C44" s="95"/>
      <c r="D44" s="113" t="s">
        <v>698</v>
      </c>
      <c r="E44" s="107" t="s">
        <v>571</v>
      </c>
      <c r="F44" s="107"/>
      <c r="G44" s="107"/>
      <c r="H44" s="107"/>
      <c r="I44" s="108">
        <f>'2. melléklet'!DC44</f>
        <v>0</v>
      </c>
      <c r="J44" s="181">
        <f>'3. melléklet'!AD44</f>
        <v>0</v>
      </c>
      <c r="K44" s="181">
        <f>'4. melléklet'!O44</f>
        <v>0</v>
      </c>
      <c r="L44" s="181">
        <f t="shared" si="0"/>
        <v>0</v>
      </c>
    </row>
    <row r="45" spans="1:12" s="134" customFormat="1" ht="15" customHeight="1" thickBot="1">
      <c r="A45" s="64" t="s">
        <v>65</v>
      </c>
      <c r="B45" s="135"/>
      <c r="C45" s="136" t="s">
        <v>572</v>
      </c>
      <c r="D45" s="137" t="s">
        <v>573</v>
      </c>
      <c r="E45" s="137"/>
      <c r="F45" s="137"/>
      <c r="G45" s="137"/>
      <c r="H45" s="141"/>
      <c r="I45" s="139">
        <f>'2. melléklet'!DC45</f>
        <v>609105</v>
      </c>
      <c r="J45" s="183">
        <f>'3. melléklet'!AD45</f>
        <v>43081</v>
      </c>
      <c r="K45" s="183">
        <f>'4. melléklet'!O45</f>
        <v>62118</v>
      </c>
      <c r="L45" s="183">
        <f t="shared" si="0"/>
        <v>714304</v>
      </c>
    </row>
    <row r="46" spans="1:12" s="96" customFormat="1" ht="15" customHeight="1" thickBot="1">
      <c r="A46" s="64" t="s">
        <v>66</v>
      </c>
      <c r="B46" s="94"/>
      <c r="C46" s="95"/>
      <c r="D46" s="95" t="s">
        <v>703</v>
      </c>
      <c r="E46" s="97" t="s">
        <v>699</v>
      </c>
      <c r="F46" s="97"/>
      <c r="G46" s="97"/>
      <c r="H46" s="98"/>
      <c r="I46" s="99">
        <f>'2. melléklet'!DC46</f>
        <v>434537</v>
      </c>
      <c r="J46" s="100">
        <f>'3. melléklet'!AD46</f>
        <v>37971</v>
      </c>
      <c r="K46" s="100">
        <f>'4. melléklet'!O46</f>
        <v>62118</v>
      </c>
      <c r="L46" s="100">
        <f t="shared" si="0"/>
        <v>534626</v>
      </c>
    </row>
    <row r="47" spans="1:12" s="96" customFormat="1" ht="15" customHeight="1" thickBot="1">
      <c r="A47" s="64" t="s">
        <v>67</v>
      </c>
      <c r="B47" s="94"/>
      <c r="C47" s="95"/>
      <c r="D47" s="95" t="s">
        <v>704</v>
      </c>
      <c r="E47" s="97" t="s">
        <v>700</v>
      </c>
      <c r="F47" s="97"/>
      <c r="G47" s="97"/>
      <c r="H47" s="98"/>
      <c r="I47" s="99">
        <f>'2. melléklet'!DC47</f>
        <v>174568</v>
      </c>
      <c r="J47" s="100">
        <f>'3. melléklet'!AD47</f>
        <v>5110</v>
      </c>
      <c r="K47" s="100">
        <f>'4. melléklet'!O47</f>
        <v>0</v>
      </c>
      <c r="L47" s="100">
        <f t="shared" si="0"/>
        <v>179678</v>
      </c>
    </row>
    <row r="48" spans="1:12" s="134" customFormat="1" ht="15" customHeight="1" thickBot="1">
      <c r="A48" s="64" t="s">
        <v>68</v>
      </c>
      <c r="B48" s="188"/>
      <c r="C48" s="189" t="s">
        <v>574</v>
      </c>
      <c r="D48" s="190" t="s">
        <v>225</v>
      </c>
      <c r="E48" s="191"/>
      <c r="F48" s="191"/>
      <c r="G48" s="191"/>
      <c r="H48" s="191"/>
      <c r="I48" s="192">
        <f>'2. melléklet'!DC48</f>
        <v>0</v>
      </c>
      <c r="J48" s="193">
        <f>'3. melléklet'!AD48</f>
        <v>459875</v>
      </c>
      <c r="K48" s="193">
        <f>'4. melléklet'!O48</f>
        <v>795080</v>
      </c>
      <c r="L48" s="193">
        <f t="shared" si="0"/>
        <v>1254955</v>
      </c>
    </row>
    <row r="49" spans="1:12" s="134" customFormat="1" ht="15" customHeight="1" thickBot="1">
      <c r="A49" s="64" t="s">
        <v>69</v>
      </c>
      <c r="B49" s="151" t="s">
        <v>585</v>
      </c>
      <c r="C49" s="152" t="s">
        <v>586</v>
      </c>
      <c r="D49" s="153"/>
      <c r="E49" s="153"/>
      <c r="F49" s="153"/>
      <c r="G49" s="153"/>
      <c r="H49" s="153"/>
      <c r="I49" s="133">
        <f>'2. melléklet'!DC49</f>
        <v>0</v>
      </c>
      <c r="J49" s="182">
        <f>'3. melléklet'!AD49</f>
        <v>0</v>
      </c>
      <c r="K49" s="182">
        <f>'4. melléklet'!O49</f>
        <v>0</v>
      </c>
      <c r="L49" s="182">
        <f t="shared" si="0"/>
        <v>0</v>
      </c>
    </row>
    <row r="50" spans="1:12" s="134" customFormat="1" ht="30" customHeight="1" thickBot="1">
      <c r="A50" s="64" t="s">
        <v>70</v>
      </c>
      <c r="B50" s="359" t="s">
        <v>592</v>
      </c>
      <c r="C50" s="360"/>
      <c r="D50" s="360"/>
      <c r="E50" s="360"/>
      <c r="F50" s="360"/>
      <c r="G50" s="360"/>
      <c r="H50" s="360"/>
      <c r="I50" s="147">
        <f>'2. melléklet'!DC50</f>
        <v>5393503</v>
      </c>
      <c r="J50" s="147">
        <f>'3. melléklet'!AD50</f>
        <v>531792</v>
      </c>
      <c r="K50" s="147">
        <f>'4. melléklet'!O50</f>
        <v>1118595</v>
      </c>
      <c r="L50" s="184">
        <f>SUM(I50:K50)-L48</f>
        <v>5788935</v>
      </c>
    </row>
    <row r="51" spans="1:12" s="56" customFormat="1" ht="15" customHeight="1" thickBot="1">
      <c r="A51" s="64" t="s">
        <v>71</v>
      </c>
      <c r="B51" s="354"/>
      <c r="C51" s="355"/>
      <c r="D51" s="355"/>
      <c r="E51" s="355"/>
      <c r="F51" s="355"/>
      <c r="G51" s="355"/>
      <c r="H51" s="355"/>
      <c r="I51" s="355"/>
      <c r="J51" s="355"/>
      <c r="K51" s="355"/>
      <c r="L51" s="356"/>
    </row>
    <row r="52" spans="1:12" ht="75.75" thickBot="1">
      <c r="A52" s="64" t="s">
        <v>72</v>
      </c>
      <c r="B52" s="353" t="s">
        <v>123</v>
      </c>
      <c r="C52" s="353"/>
      <c r="D52" s="353"/>
      <c r="E52" s="353"/>
      <c r="F52" s="353"/>
      <c r="G52" s="353"/>
      <c r="H52" s="353"/>
      <c r="I52" s="105" t="s">
        <v>119</v>
      </c>
      <c r="J52" s="105" t="s">
        <v>120</v>
      </c>
      <c r="K52" s="105" t="s">
        <v>121</v>
      </c>
      <c r="L52" s="105" t="s">
        <v>122</v>
      </c>
    </row>
    <row r="53" spans="1:12" s="157" customFormat="1" ht="16.5" thickBot="1">
      <c r="A53" s="64" t="s">
        <v>73</v>
      </c>
      <c r="B53" s="154" t="s">
        <v>99</v>
      </c>
      <c r="C53" s="155" t="s">
        <v>114</v>
      </c>
      <c r="D53" s="155"/>
      <c r="E53" s="155"/>
      <c r="F53" s="155"/>
      <c r="G53" s="155"/>
      <c r="H53" s="155"/>
      <c r="I53" s="156">
        <f>'2. melléklet'!DC53</f>
        <v>1520967</v>
      </c>
      <c r="J53" s="156">
        <f>'3. melléklet'!AD53</f>
        <v>511563</v>
      </c>
      <c r="K53" s="156">
        <f>'4. melléklet'!O53</f>
        <v>1101023</v>
      </c>
      <c r="L53" s="156">
        <f aca="true" t="shared" si="1" ref="L53:L77">SUM(I53:K53)</f>
        <v>3133553</v>
      </c>
    </row>
    <row r="54" spans="1:12" s="157" customFormat="1" ht="16.5" thickBot="1">
      <c r="A54" s="64" t="s">
        <v>74</v>
      </c>
      <c r="B54" s="158"/>
      <c r="C54" s="159" t="s">
        <v>101</v>
      </c>
      <c r="D54" s="160" t="s">
        <v>115</v>
      </c>
      <c r="E54" s="160"/>
      <c r="F54" s="160"/>
      <c r="G54" s="160"/>
      <c r="H54" s="161"/>
      <c r="I54" s="162">
        <f>'2. melléklet'!DC54</f>
        <v>153297</v>
      </c>
      <c r="J54" s="162">
        <f>'3. melléklet'!AD54</f>
        <v>203002</v>
      </c>
      <c r="K54" s="162">
        <f>'4. melléklet'!O54</f>
        <v>460914</v>
      </c>
      <c r="L54" s="162">
        <f t="shared" si="1"/>
        <v>817213</v>
      </c>
    </row>
    <row r="55" spans="1:12" s="157" customFormat="1" ht="16.5" thickBot="1">
      <c r="A55" s="64" t="s">
        <v>75</v>
      </c>
      <c r="B55" s="158"/>
      <c r="C55" s="159" t="s">
        <v>103</v>
      </c>
      <c r="D55" s="163" t="s">
        <v>575</v>
      </c>
      <c r="E55" s="164"/>
      <c r="F55" s="163"/>
      <c r="G55" s="163"/>
      <c r="H55" s="165"/>
      <c r="I55" s="166">
        <f>'2. melléklet'!DC55</f>
        <v>30448</v>
      </c>
      <c r="J55" s="166">
        <f>'3. melléklet'!AD55</f>
        <v>60007</v>
      </c>
      <c r="K55" s="166">
        <f>'4. melléklet'!O55</f>
        <v>121390</v>
      </c>
      <c r="L55" s="166">
        <f t="shared" si="1"/>
        <v>211845</v>
      </c>
    </row>
    <row r="56" spans="1:12" s="157" customFormat="1" ht="16.5" thickBot="1">
      <c r="A56" s="64" t="s">
        <v>76</v>
      </c>
      <c r="B56" s="158"/>
      <c r="C56" s="159" t="s">
        <v>104</v>
      </c>
      <c r="D56" s="163" t="s">
        <v>576</v>
      </c>
      <c r="E56" s="164"/>
      <c r="F56" s="163"/>
      <c r="G56" s="163"/>
      <c r="H56" s="165"/>
      <c r="I56" s="166">
        <f>'2. melléklet'!DC56</f>
        <v>559068</v>
      </c>
      <c r="J56" s="166">
        <f>'3. melléklet'!AD56</f>
        <v>141253</v>
      </c>
      <c r="K56" s="166">
        <f>'4. melléklet'!O56</f>
        <v>468171</v>
      </c>
      <c r="L56" s="166">
        <f t="shared" si="1"/>
        <v>1168492</v>
      </c>
    </row>
    <row r="57" spans="1:12" s="157" customFormat="1" ht="16.5" thickBot="1">
      <c r="A57" s="64" t="s">
        <v>77</v>
      </c>
      <c r="B57" s="158"/>
      <c r="C57" s="159" t="s">
        <v>106</v>
      </c>
      <c r="D57" s="167" t="s">
        <v>596</v>
      </c>
      <c r="E57" s="168"/>
      <c r="F57" s="168"/>
      <c r="G57" s="167"/>
      <c r="H57" s="169"/>
      <c r="I57" s="187">
        <f>'2. melléklet'!DC57</f>
        <v>34254</v>
      </c>
      <c r="J57" s="187">
        <f>'3. melléklet'!AD57</f>
        <v>72325</v>
      </c>
      <c r="K57" s="187">
        <f>'4. melléklet'!O57</f>
        <v>0</v>
      </c>
      <c r="L57" s="187">
        <f t="shared" si="1"/>
        <v>106579</v>
      </c>
    </row>
    <row r="58" spans="1:12" s="157" customFormat="1" ht="16.5" thickBot="1">
      <c r="A58" s="64" t="s">
        <v>78</v>
      </c>
      <c r="B58" s="158"/>
      <c r="C58" s="159" t="s">
        <v>105</v>
      </c>
      <c r="D58" s="163" t="s">
        <v>577</v>
      </c>
      <c r="E58" s="164"/>
      <c r="F58" s="163"/>
      <c r="G58" s="163"/>
      <c r="H58" s="165"/>
      <c r="I58" s="166">
        <f>'2. melléklet'!DC58</f>
        <v>743900</v>
      </c>
      <c r="J58" s="166">
        <f>'3. melléklet'!AD58</f>
        <v>34976</v>
      </c>
      <c r="K58" s="166">
        <f>'4. melléklet'!O58</f>
        <v>50548</v>
      </c>
      <c r="L58" s="166">
        <f t="shared" si="1"/>
        <v>829424</v>
      </c>
    </row>
    <row r="59" spans="1:12" s="62" customFormat="1" ht="15" thickBot="1">
      <c r="A59" s="64" t="s">
        <v>80</v>
      </c>
      <c r="B59" s="121"/>
      <c r="C59" s="122"/>
      <c r="D59" s="123" t="s">
        <v>710</v>
      </c>
      <c r="E59" s="124" t="s">
        <v>708</v>
      </c>
      <c r="F59" s="124"/>
      <c r="G59" s="124"/>
      <c r="H59" s="125"/>
      <c r="I59" s="102">
        <f>'2. melléklet'!DC59</f>
        <v>504406</v>
      </c>
      <c r="J59" s="102">
        <f>'3. melléklet'!AD59</f>
        <v>34976</v>
      </c>
      <c r="K59" s="102">
        <f>'4. melléklet'!O59</f>
        <v>50548</v>
      </c>
      <c r="L59" s="102">
        <f t="shared" si="1"/>
        <v>589930</v>
      </c>
    </row>
    <row r="60" spans="1:12" s="62" customFormat="1" ht="15" thickBot="1">
      <c r="A60" s="64" t="s">
        <v>81</v>
      </c>
      <c r="B60" s="121"/>
      <c r="C60" s="122"/>
      <c r="D60" s="123" t="s">
        <v>701</v>
      </c>
      <c r="E60" s="124" t="s">
        <v>707</v>
      </c>
      <c r="F60" s="63"/>
      <c r="G60" s="124"/>
      <c r="H60" s="125"/>
      <c r="I60" s="102">
        <f>'2. melléklet'!DC60</f>
        <v>5000</v>
      </c>
      <c r="J60" s="102">
        <f>'3. melléklet'!AD60</f>
        <v>0</v>
      </c>
      <c r="K60" s="102">
        <f>'4. melléklet'!O60</f>
        <v>0</v>
      </c>
      <c r="L60" s="102">
        <f t="shared" si="1"/>
        <v>5000</v>
      </c>
    </row>
    <row r="61" spans="1:12" s="62" customFormat="1" ht="15" thickBot="1">
      <c r="A61" s="64" t="s">
        <v>164</v>
      </c>
      <c r="B61" s="121"/>
      <c r="C61" s="122"/>
      <c r="D61" s="123" t="s">
        <v>702</v>
      </c>
      <c r="E61" s="126" t="s">
        <v>711</v>
      </c>
      <c r="F61" s="101"/>
      <c r="G61" s="126"/>
      <c r="H61" s="127"/>
      <c r="I61" s="103">
        <f>'2. melléklet'!DC61</f>
        <v>204168</v>
      </c>
      <c r="J61" s="103">
        <f>'3. melléklet'!AD61</f>
        <v>0</v>
      </c>
      <c r="K61" s="103">
        <f>'4. melléklet'!O61</f>
        <v>0</v>
      </c>
      <c r="L61" s="102">
        <f t="shared" si="1"/>
        <v>204168</v>
      </c>
    </row>
    <row r="62" spans="1:12" s="62" customFormat="1" ht="15" thickBot="1">
      <c r="A62" s="64" t="s">
        <v>165</v>
      </c>
      <c r="B62" s="121"/>
      <c r="C62" s="122"/>
      <c r="D62" s="123" t="s">
        <v>705</v>
      </c>
      <c r="E62" s="124" t="s">
        <v>709</v>
      </c>
      <c r="F62" s="63"/>
      <c r="G62" s="124"/>
      <c r="H62" s="125"/>
      <c r="I62" s="102">
        <f>'2. melléklet'!DC62</f>
        <v>14768</v>
      </c>
      <c r="J62" s="102">
        <f>'3. melléklet'!AD62</f>
        <v>0</v>
      </c>
      <c r="K62" s="102">
        <f>'4. melléklet'!O62</f>
        <v>0</v>
      </c>
      <c r="L62" s="102">
        <f t="shared" si="1"/>
        <v>14768</v>
      </c>
    </row>
    <row r="63" spans="1:12" s="62" customFormat="1" ht="15" thickBot="1">
      <c r="A63" s="64" t="s">
        <v>166</v>
      </c>
      <c r="B63" s="121"/>
      <c r="C63" s="122"/>
      <c r="D63" s="123" t="s">
        <v>706</v>
      </c>
      <c r="E63" s="124" t="s">
        <v>117</v>
      </c>
      <c r="F63" s="63"/>
      <c r="G63" s="124"/>
      <c r="H63" s="125"/>
      <c r="I63" s="102">
        <f>'2. melléklet'!DC63</f>
        <v>15558</v>
      </c>
      <c r="J63" s="102">
        <f>'3. melléklet'!AD63</f>
        <v>0</v>
      </c>
      <c r="K63" s="102">
        <f>'4. melléklet'!O63</f>
        <v>0</v>
      </c>
      <c r="L63" s="102">
        <f t="shared" si="1"/>
        <v>15558</v>
      </c>
    </row>
    <row r="64" spans="1:12" s="157" customFormat="1" ht="16.5" thickBot="1">
      <c r="A64" s="64" t="s">
        <v>167</v>
      </c>
      <c r="B64" s="154" t="s">
        <v>107</v>
      </c>
      <c r="C64" s="155" t="s">
        <v>116</v>
      </c>
      <c r="D64" s="170"/>
      <c r="E64" s="170"/>
      <c r="F64" s="155"/>
      <c r="G64" s="155"/>
      <c r="H64" s="155"/>
      <c r="I64" s="156">
        <f>'2. melléklet'!DC64</f>
        <v>2270615</v>
      </c>
      <c r="J64" s="156">
        <f>'3. melléklet'!AD64</f>
        <v>20229</v>
      </c>
      <c r="K64" s="156">
        <f>'4. melléklet'!O64</f>
        <v>17572</v>
      </c>
      <c r="L64" s="156">
        <f t="shared" si="1"/>
        <v>2308416</v>
      </c>
    </row>
    <row r="65" spans="1:12" s="157" customFormat="1" ht="16.5" thickBot="1">
      <c r="A65" s="64" t="s">
        <v>168</v>
      </c>
      <c r="B65" s="158"/>
      <c r="C65" s="159" t="s">
        <v>109</v>
      </c>
      <c r="D65" s="160" t="s">
        <v>578</v>
      </c>
      <c r="E65" s="160"/>
      <c r="F65" s="160"/>
      <c r="G65" s="160"/>
      <c r="H65" s="161"/>
      <c r="I65" s="162">
        <f>'2. melléklet'!DC65</f>
        <v>552974</v>
      </c>
      <c r="J65" s="162">
        <f>'3. melléklet'!AD65</f>
        <v>20229</v>
      </c>
      <c r="K65" s="162">
        <f>'4. melléklet'!O65</f>
        <v>17572</v>
      </c>
      <c r="L65" s="162">
        <f t="shared" si="1"/>
        <v>590775</v>
      </c>
    </row>
    <row r="66" spans="1:12" s="157" customFormat="1" ht="16.5" thickBot="1">
      <c r="A66" s="64" t="s">
        <v>169</v>
      </c>
      <c r="B66" s="158"/>
      <c r="C66" s="159" t="s">
        <v>110</v>
      </c>
      <c r="D66" s="163" t="s">
        <v>579</v>
      </c>
      <c r="E66" s="163"/>
      <c r="F66" s="163"/>
      <c r="G66" s="163"/>
      <c r="H66" s="165"/>
      <c r="I66" s="166">
        <f>'2. melléklet'!DC66</f>
        <v>1248354</v>
      </c>
      <c r="J66" s="166">
        <f>'3. melléklet'!AD66</f>
        <v>0</v>
      </c>
      <c r="K66" s="166">
        <f>'4. melléklet'!O66</f>
        <v>0</v>
      </c>
      <c r="L66" s="166">
        <f t="shared" si="1"/>
        <v>1248354</v>
      </c>
    </row>
    <row r="67" spans="1:12" s="157" customFormat="1" ht="16.5" thickBot="1">
      <c r="A67" s="64" t="s">
        <v>170</v>
      </c>
      <c r="B67" s="158"/>
      <c r="C67" s="159" t="s">
        <v>111</v>
      </c>
      <c r="D67" s="163" t="s">
        <v>580</v>
      </c>
      <c r="E67" s="164"/>
      <c r="F67" s="163"/>
      <c r="G67" s="163"/>
      <c r="H67" s="165"/>
      <c r="I67" s="166">
        <f>'2. melléklet'!DC67</f>
        <v>469287</v>
      </c>
      <c r="J67" s="166">
        <f>'3. melléklet'!AD67</f>
        <v>0</v>
      </c>
      <c r="K67" s="166">
        <f>'4. melléklet'!O67</f>
        <v>0</v>
      </c>
      <c r="L67" s="166">
        <f t="shared" si="1"/>
        <v>469287</v>
      </c>
    </row>
    <row r="68" spans="1:12" s="62" customFormat="1" ht="15" thickBot="1">
      <c r="A68" s="64" t="s">
        <v>171</v>
      </c>
      <c r="B68" s="121"/>
      <c r="C68" s="128"/>
      <c r="D68" s="123" t="s">
        <v>712</v>
      </c>
      <c r="E68" s="124" t="s">
        <v>713</v>
      </c>
      <c r="F68" s="124"/>
      <c r="G68" s="124"/>
      <c r="H68" s="125"/>
      <c r="I68" s="102">
        <f>'2. melléklet'!DC68</f>
        <v>0</v>
      </c>
      <c r="J68" s="102">
        <f>'3. melléklet'!AD68</f>
        <v>0</v>
      </c>
      <c r="K68" s="102">
        <f>'4. melléklet'!O68</f>
        <v>0</v>
      </c>
      <c r="L68" s="102">
        <f t="shared" si="1"/>
        <v>0</v>
      </c>
    </row>
    <row r="69" spans="1:12" s="62" customFormat="1" ht="15" thickBot="1">
      <c r="A69" s="64" t="s">
        <v>172</v>
      </c>
      <c r="B69" s="121"/>
      <c r="C69" s="128"/>
      <c r="D69" s="123" t="s">
        <v>714</v>
      </c>
      <c r="E69" s="124" t="s">
        <v>581</v>
      </c>
      <c r="F69" s="124"/>
      <c r="G69" s="124"/>
      <c r="H69" s="125"/>
      <c r="I69" s="102">
        <f>'2. melléklet'!DC69</f>
        <v>2000</v>
      </c>
      <c r="J69" s="102">
        <f>'3. melléklet'!AD69</f>
        <v>0</v>
      </c>
      <c r="K69" s="102">
        <f>'4. melléklet'!O69</f>
        <v>0</v>
      </c>
      <c r="L69" s="102">
        <f t="shared" si="1"/>
        <v>2000</v>
      </c>
    </row>
    <row r="70" spans="1:12" s="62" customFormat="1" ht="15" thickBot="1">
      <c r="A70" s="64" t="s">
        <v>173</v>
      </c>
      <c r="B70" s="121"/>
      <c r="C70" s="128"/>
      <c r="D70" s="123" t="s">
        <v>715</v>
      </c>
      <c r="E70" s="124" t="s">
        <v>716</v>
      </c>
      <c r="F70" s="63"/>
      <c r="G70" s="124"/>
      <c r="H70" s="125"/>
      <c r="I70" s="102">
        <f>'2. melléklet'!DC70</f>
        <v>106411</v>
      </c>
      <c r="J70" s="102">
        <f>'3. melléklet'!AD70</f>
        <v>0</v>
      </c>
      <c r="K70" s="102">
        <f>'4. melléklet'!O70</f>
        <v>0</v>
      </c>
      <c r="L70" s="102">
        <f t="shared" si="1"/>
        <v>106411</v>
      </c>
    </row>
    <row r="71" spans="1:12" s="62" customFormat="1" ht="15" thickBot="1">
      <c r="A71" s="64" t="s">
        <v>174</v>
      </c>
      <c r="B71" s="121"/>
      <c r="C71" s="128"/>
      <c r="D71" s="123" t="s">
        <v>717</v>
      </c>
      <c r="E71" s="124" t="s">
        <v>582</v>
      </c>
      <c r="F71" s="63"/>
      <c r="G71" s="124"/>
      <c r="H71" s="125"/>
      <c r="I71" s="103">
        <f>'2. melléklet'!DC71</f>
        <v>360876</v>
      </c>
      <c r="J71" s="103">
        <f>'3. melléklet'!AD71</f>
        <v>0</v>
      </c>
      <c r="K71" s="103">
        <f>'4. melléklet'!O71</f>
        <v>0</v>
      </c>
      <c r="L71" s="102">
        <f t="shared" si="1"/>
        <v>360876</v>
      </c>
    </row>
    <row r="72" spans="1:12" s="150" customFormat="1" ht="30" customHeight="1" thickBot="1">
      <c r="A72" s="64" t="s">
        <v>175</v>
      </c>
      <c r="B72" s="186" t="s">
        <v>594</v>
      </c>
      <c r="C72" s="171"/>
      <c r="D72" s="172"/>
      <c r="E72" s="172"/>
      <c r="F72" s="172"/>
      <c r="G72" s="172"/>
      <c r="H72" s="172"/>
      <c r="I72" s="147">
        <f>'2. melléklet'!DC72</f>
        <v>3791582</v>
      </c>
      <c r="J72" s="147">
        <f>'3. melléklet'!AD72</f>
        <v>531792</v>
      </c>
      <c r="K72" s="147">
        <f>'4. melléklet'!O72</f>
        <v>1118595</v>
      </c>
      <c r="L72" s="147">
        <f t="shared" si="1"/>
        <v>5441969</v>
      </c>
    </row>
    <row r="73" spans="1:12" s="157" customFormat="1" ht="16.5" thickBot="1">
      <c r="A73" s="64" t="s">
        <v>176</v>
      </c>
      <c r="B73" s="154" t="s">
        <v>112</v>
      </c>
      <c r="C73" s="155" t="s">
        <v>583</v>
      </c>
      <c r="D73" s="155"/>
      <c r="E73" s="155"/>
      <c r="F73" s="155"/>
      <c r="G73" s="155"/>
      <c r="H73" s="155"/>
      <c r="I73" s="156">
        <f>'2. melléklet'!DC73</f>
        <v>1601921</v>
      </c>
      <c r="J73" s="156">
        <f>'3. melléklet'!AD73</f>
        <v>0</v>
      </c>
      <c r="K73" s="156">
        <f>'4. melléklet'!O73</f>
        <v>0</v>
      </c>
      <c r="L73" s="156">
        <f t="shared" si="1"/>
        <v>1601921</v>
      </c>
    </row>
    <row r="74" spans="1:12" s="157" customFormat="1" ht="16.5" thickBot="1">
      <c r="A74" s="64" t="s">
        <v>177</v>
      </c>
      <c r="B74" s="158"/>
      <c r="C74" s="173" t="s">
        <v>113</v>
      </c>
      <c r="D74" s="174" t="s">
        <v>587</v>
      </c>
      <c r="E74" s="174"/>
      <c r="F74" s="174"/>
      <c r="G74" s="174"/>
      <c r="H74" s="175"/>
      <c r="I74" s="194">
        <f>'2. melléklet'!DC74</f>
        <v>346966</v>
      </c>
      <c r="J74" s="194">
        <f>'3. melléklet'!AD74</f>
        <v>0</v>
      </c>
      <c r="K74" s="194">
        <f>'4. melléklet'!O74</f>
        <v>0</v>
      </c>
      <c r="L74" s="194">
        <f t="shared" si="1"/>
        <v>346966</v>
      </c>
    </row>
    <row r="75" spans="1:12" s="110" customFormat="1" ht="15" customHeight="1" thickBot="1">
      <c r="A75" s="64" t="s">
        <v>178</v>
      </c>
      <c r="B75" s="109"/>
      <c r="C75" s="95"/>
      <c r="D75" s="129" t="s">
        <v>698</v>
      </c>
      <c r="E75" s="107" t="s">
        <v>718</v>
      </c>
      <c r="F75" s="107"/>
      <c r="G75" s="107"/>
      <c r="H75" s="107"/>
      <c r="I75" s="108">
        <f>'2. melléklet'!DC75</f>
        <v>346966</v>
      </c>
      <c r="J75" s="181">
        <f>'3. melléklet'!AD75</f>
        <v>0</v>
      </c>
      <c r="K75" s="181">
        <f>'4. melléklet'!O75</f>
        <v>0</v>
      </c>
      <c r="L75" s="181">
        <f t="shared" si="1"/>
        <v>346966</v>
      </c>
    </row>
    <row r="76" spans="1:12" s="134" customFormat="1" ht="15" customHeight="1" thickBot="1">
      <c r="A76" s="64" t="s">
        <v>179</v>
      </c>
      <c r="B76" s="195"/>
      <c r="C76" s="196" t="s">
        <v>588</v>
      </c>
      <c r="D76" s="197" t="s">
        <v>593</v>
      </c>
      <c r="E76" s="198"/>
      <c r="F76" s="198"/>
      <c r="G76" s="198"/>
      <c r="H76" s="198"/>
      <c r="I76" s="199">
        <f>'2. melléklet'!DC76</f>
        <v>1254955</v>
      </c>
      <c r="J76" s="200">
        <f>'3. melléklet'!AD76</f>
        <v>0</v>
      </c>
      <c r="K76" s="200">
        <f>'4. melléklet'!O76</f>
        <v>0</v>
      </c>
      <c r="L76" s="200">
        <f t="shared" si="1"/>
        <v>1254955</v>
      </c>
    </row>
    <row r="77" spans="1:12" s="157" customFormat="1" ht="16.5" thickBot="1">
      <c r="A77" s="64" t="s">
        <v>180</v>
      </c>
      <c r="B77" s="154" t="s">
        <v>584</v>
      </c>
      <c r="C77" s="155" t="s">
        <v>118</v>
      </c>
      <c r="D77" s="170"/>
      <c r="E77" s="170"/>
      <c r="F77" s="155"/>
      <c r="G77" s="155"/>
      <c r="H77" s="176"/>
      <c r="I77" s="156">
        <f>'2. melléklet'!DC77</f>
        <v>0</v>
      </c>
      <c r="J77" s="156">
        <f>'3. melléklet'!AD77</f>
        <v>0</v>
      </c>
      <c r="K77" s="156">
        <f>'4. melléklet'!O77</f>
        <v>0</v>
      </c>
      <c r="L77" s="156">
        <f t="shared" si="1"/>
        <v>0</v>
      </c>
    </row>
    <row r="78" spans="1:12" s="150" customFormat="1" ht="30" customHeight="1" thickBot="1">
      <c r="A78" s="64" t="s">
        <v>181</v>
      </c>
      <c r="B78" s="177" t="s">
        <v>595</v>
      </c>
      <c r="C78" s="178"/>
      <c r="D78" s="179"/>
      <c r="E78" s="179"/>
      <c r="F78" s="179"/>
      <c r="G78" s="179"/>
      <c r="H78" s="179"/>
      <c r="I78" s="180">
        <f>'2. melléklet'!DC78</f>
        <v>5393503</v>
      </c>
      <c r="J78" s="180">
        <f>'3. melléklet'!AD78</f>
        <v>531792</v>
      </c>
      <c r="K78" s="180">
        <f>'4. melléklet'!O78</f>
        <v>1118595</v>
      </c>
      <c r="L78" s="180">
        <f>SUM(I78:K78)-L76</f>
        <v>5788935</v>
      </c>
    </row>
    <row r="79" spans="1:12" ht="15" customHeight="1" thickBot="1">
      <c r="A79" s="64" t="s">
        <v>182</v>
      </c>
      <c r="L79" s="60" t="s">
        <v>8</v>
      </c>
    </row>
    <row r="80" spans="1:12" s="65" customFormat="1" ht="15" customHeight="1" thickBot="1">
      <c r="A80" s="64" t="s">
        <v>183</v>
      </c>
      <c r="B80" s="66" t="s">
        <v>9</v>
      </c>
      <c r="C80" s="66" t="s">
        <v>10</v>
      </c>
      <c r="D80" s="66" t="s">
        <v>11</v>
      </c>
      <c r="E80" s="338" t="s">
        <v>12</v>
      </c>
      <c r="F80" s="339"/>
      <c r="G80" s="339"/>
      <c r="H80" s="340"/>
      <c r="I80" s="66" t="s">
        <v>13</v>
      </c>
      <c r="J80" s="66" t="s">
        <v>124</v>
      </c>
      <c r="K80" s="66" t="s">
        <v>125</v>
      </c>
      <c r="L80" s="66" t="s">
        <v>126</v>
      </c>
    </row>
    <row r="81" spans="1:12" ht="30" customHeight="1" thickBot="1">
      <c r="A81" s="64" t="s">
        <v>184</v>
      </c>
      <c r="B81" s="341" t="s">
        <v>648</v>
      </c>
      <c r="C81" s="342"/>
      <c r="D81" s="342"/>
      <c r="E81" s="342"/>
      <c r="F81" s="342"/>
      <c r="G81" s="342"/>
      <c r="H81" s="342"/>
      <c r="I81" s="342"/>
      <c r="J81" s="342"/>
      <c r="K81" s="342"/>
      <c r="L81" s="343"/>
    </row>
    <row r="82" spans="1:12" ht="30" customHeight="1" thickBot="1">
      <c r="A82" s="64" t="s">
        <v>185</v>
      </c>
      <c r="B82" s="366"/>
      <c r="C82" s="367"/>
      <c r="D82" s="367"/>
      <c r="E82" s="367"/>
      <c r="F82" s="367"/>
      <c r="G82" s="367"/>
      <c r="H82" s="367"/>
      <c r="I82" s="367"/>
      <c r="J82" s="367"/>
      <c r="K82" s="367"/>
      <c r="L82" s="368"/>
    </row>
    <row r="83" spans="1:12" ht="30" customHeight="1" thickBot="1">
      <c r="A83" s="64" t="s">
        <v>186</v>
      </c>
      <c r="B83" s="344" t="s">
        <v>552</v>
      </c>
      <c r="C83" s="344"/>
      <c r="D83" s="344"/>
      <c r="E83" s="344"/>
      <c r="F83" s="344"/>
      <c r="G83" s="344"/>
      <c r="H83" s="344"/>
      <c r="I83" s="90">
        <f>I41</f>
        <v>4784398</v>
      </c>
      <c r="J83" s="90">
        <f>J41</f>
        <v>28836</v>
      </c>
      <c r="K83" s="90">
        <f>K41</f>
        <v>261397</v>
      </c>
      <c r="L83" s="90">
        <f>L41</f>
        <v>5074631</v>
      </c>
    </row>
    <row r="84" spans="1:12" ht="19.5" customHeight="1" thickBot="1">
      <c r="A84" s="64" t="s">
        <v>187</v>
      </c>
      <c r="B84" s="346" t="s">
        <v>555</v>
      </c>
      <c r="C84" s="347"/>
      <c r="D84" s="347"/>
      <c r="E84" s="347"/>
      <c r="F84" s="347"/>
      <c r="G84" s="347"/>
      <c r="H84" s="348"/>
      <c r="I84" s="89"/>
      <c r="J84" s="89"/>
      <c r="K84" s="89"/>
      <c r="L84" s="89"/>
    </row>
    <row r="85" spans="1:12" ht="19.5" customHeight="1" thickBot="1">
      <c r="A85" s="64" t="s">
        <v>188</v>
      </c>
      <c r="B85" s="345" t="s">
        <v>86</v>
      </c>
      <c r="C85" s="345"/>
      <c r="D85" s="345"/>
      <c r="E85" s="345"/>
      <c r="F85" s="345"/>
      <c r="G85" s="345"/>
      <c r="H85" s="345"/>
      <c r="I85" s="92">
        <f>SUM(I7)</f>
        <v>3210536</v>
      </c>
      <c r="J85" s="92">
        <f>SUM(J7)</f>
        <v>28836</v>
      </c>
      <c r="K85" s="92">
        <f>SUM(K7)</f>
        <v>260816</v>
      </c>
      <c r="L85" s="92">
        <f>SUM(L7)</f>
        <v>3500188</v>
      </c>
    </row>
    <row r="86" spans="1:12" ht="19.5" customHeight="1" thickBot="1">
      <c r="A86" s="64" t="s">
        <v>189</v>
      </c>
      <c r="B86" s="345" t="s">
        <v>556</v>
      </c>
      <c r="C86" s="345"/>
      <c r="D86" s="345"/>
      <c r="E86" s="345"/>
      <c r="F86" s="345"/>
      <c r="G86" s="345"/>
      <c r="H86" s="345"/>
      <c r="I86" s="92">
        <f>SUM(I32)</f>
        <v>1573862</v>
      </c>
      <c r="J86" s="92">
        <f>SUM(J32)</f>
        <v>0</v>
      </c>
      <c r="K86" s="92">
        <f>SUM(K32)</f>
        <v>581</v>
      </c>
      <c r="L86" s="92">
        <f>SUM(L32)</f>
        <v>1574443</v>
      </c>
    </row>
    <row r="87" spans="1:12" ht="30" customHeight="1" thickBot="1">
      <c r="A87" s="64" t="s">
        <v>190</v>
      </c>
      <c r="B87" s="344" t="s">
        <v>553</v>
      </c>
      <c r="C87" s="344"/>
      <c r="D87" s="344"/>
      <c r="E87" s="344"/>
      <c r="F87" s="344"/>
      <c r="G87" s="344"/>
      <c r="H87" s="344"/>
      <c r="I87" s="90">
        <f>I72</f>
        <v>3791582</v>
      </c>
      <c r="J87" s="90">
        <f>J72</f>
        <v>531792</v>
      </c>
      <c r="K87" s="90">
        <f>K72</f>
        <v>1118595</v>
      </c>
      <c r="L87" s="90">
        <f>L72</f>
        <v>5441969</v>
      </c>
    </row>
    <row r="88" spans="1:12" ht="19.5" customHeight="1" thickBot="1">
      <c r="A88" s="64" t="s">
        <v>191</v>
      </c>
      <c r="B88" s="346" t="s">
        <v>555</v>
      </c>
      <c r="C88" s="347"/>
      <c r="D88" s="347"/>
      <c r="E88" s="347"/>
      <c r="F88" s="347"/>
      <c r="G88" s="347"/>
      <c r="H88" s="348"/>
      <c r="I88" s="89"/>
      <c r="J88" s="89"/>
      <c r="K88" s="89"/>
      <c r="L88" s="89"/>
    </row>
    <row r="89" spans="1:12" ht="19.5" customHeight="1" thickBot="1">
      <c r="A89" s="64" t="s">
        <v>192</v>
      </c>
      <c r="B89" s="345" t="s">
        <v>86</v>
      </c>
      <c r="C89" s="345"/>
      <c r="D89" s="345"/>
      <c r="E89" s="345"/>
      <c r="F89" s="345"/>
      <c r="G89" s="345"/>
      <c r="H89" s="345"/>
      <c r="I89" s="92">
        <f>SUM(I53)</f>
        <v>1520967</v>
      </c>
      <c r="J89" s="92">
        <f>SUM(J53)</f>
        <v>511563</v>
      </c>
      <c r="K89" s="92">
        <f>SUM(K53)</f>
        <v>1101023</v>
      </c>
      <c r="L89" s="92">
        <f>SUM(L53)</f>
        <v>3133553</v>
      </c>
    </row>
    <row r="90" spans="1:12" ht="19.5" customHeight="1" thickBot="1">
      <c r="A90" s="64" t="s">
        <v>193</v>
      </c>
      <c r="B90" s="345" t="s">
        <v>556</v>
      </c>
      <c r="C90" s="345"/>
      <c r="D90" s="345"/>
      <c r="E90" s="345"/>
      <c r="F90" s="345"/>
      <c r="G90" s="345"/>
      <c r="H90" s="345"/>
      <c r="I90" s="92">
        <f>SUM(I64)</f>
        <v>2270615</v>
      </c>
      <c r="J90" s="92">
        <f>SUM(J64)</f>
        <v>20229</v>
      </c>
      <c r="K90" s="92">
        <f>SUM(K64)</f>
        <v>17572</v>
      </c>
      <c r="L90" s="92">
        <f>SUM(L64)</f>
        <v>2308416</v>
      </c>
    </row>
    <row r="91" spans="1:12" s="150" customFormat="1" ht="30" customHeight="1" thickBot="1">
      <c r="A91" s="64" t="s">
        <v>194</v>
      </c>
      <c r="B91" s="349" t="s">
        <v>554</v>
      </c>
      <c r="C91" s="349"/>
      <c r="D91" s="349"/>
      <c r="E91" s="349"/>
      <c r="F91" s="349"/>
      <c r="G91" s="349"/>
      <c r="H91" s="349"/>
      <c r="I91" s="201">
        <f>I83-I87</f>
        <v>992816</v>
      </c>
      <c r="J91" s="201">
        <f>J83-J87</f>
        <v>-502956</v>
      </c>
      <c r="K91" s="201">
        <f>K83-K87</f>
        <v>-857198</v>
      </c>
      <c r="L91" s="201">
        <f>L83-L87</f>
        <v>-367338</v>
      </c>
    </row>
    <row r="92" spans="1:12" ht="19.5" customHeight="1" thickBot="1">
      <c r="A92" s="64" t="s">
        <v>195</v>
      </c>
      <c r="B92" s="346" t="s">
        <v>555</v>
      </c>
      <c r="C92" s="347"/>
      <c r="D92" s="347"/>
      <c r="E92" s="347"/>
      <c r="F92" s="347"/>
      <c r="G92" s="347"/>
      <c r="H92" s="348"/>
      <c r="I92" s="91"/>
      <c r="J92" s="91"/>
      <c r="K92" s="91"/>
      <c r="L92" s="91"/>
    </row>
    <row r="93" spans="1:12" ht="19.5" customHeight="1" thickBot="1">
      <c r="A93" s="64" t="s">
        <v>196</v>
      </c>
      <c r="B93" s="345" t="s">
        <v>86</v>
      </c>
      <c r="C93" s="345"/>
      <c r="D93" s="345"/>
      <c r="E93" s="345"/>
      <c r="F93" s="345"/>
      <c r="G93" s="345"/>
      <c r="H93" s="345"/>
      <c r="I93" s="92">
        <f aca="true" t="shared" si="2" ref="I93:L94">I85-I89</f>
        <v>1689569</v>
      </c>
      <c r="J93" s="92">
        <f t="shared" si="2"/>
        <v>-482727</v>
      </c>
      <c r="K93" s="92">
        <f t="shared" si="2"/>
        <v>-840207</v>
      </c>
      <c r="L93" s="92">
        <f t="shared" si="2"/>
        <v>366635</v>
      </c>
    </row>
    <row r="94" spans="1:12" ht="19.5" customHeight="1" thickBot="1">
      <c r="A94" s="64" t="s">
        <v>197</v>
      </c>
      <c r="B94" s="345" t="s">
        <v>556</v>
      </c>
      <c r="C94" s="345"/>
      <c r="D94" s="345"/>
      <c r="E94" s="345"/>
      <c r="F94" s="345"/>
      <c r="G94" s="345"/>
      <c r="H94" s="345"/>
      <c r="I94" s="92">
        <f t="shared" si="2"/>
        <v>-696753</v>
      </c>
      <c r="J94" s="92">
        <f t="shared" si="2"/>
        <v>-20229</v>
      </c>
      <c r="K94" s="92">
        <f t="shared" si="2"/>
        <v>-16991</v>
      </c>
      <c r="L94" s="92">
        <f t="shared" si="2"/>
        <v>-733973</v>
      </c>
    </row>
    <row r="95" spans="1:12" ht="30" customHeight="1" thickBot="1">
      <c r="A95" s="64" t="s">
        <v>198</v>
      </c>
      <c r="B95" s="352"/>
      <c r="C95" s="352"/>
      <c r="D95" s="352"/>
      <c r="E95" s="352"/>
      <c r="F95" s="352"/>
      <c r="G95" s="352"/>
      <c r="H95" s="352"/>
      <c r="I95" s="352"/>
      <c r="J95" s="352"/>
      <c r="K95" s="352"/>
      <c r="L95" s="352"/>
    </row>
    <row r="96" spans="1:12" ht="30" customHeight="1" thickBot="1">
      <c r="A96" s="64" t="s">
        <v>199</v>
      </c>
      <c r="B96" s="344" t="s">
        <v>557</v>
      </c>
      <c r="C96" s="344"/>
      <c r="D96" s="344"/>
      <c r="E96" s="344"/>
      <c r="F96" s="344"/>
      <c r="G96" s="344"/>
      <c r="H96" s="344"/>
      <c r="I96" s="337">
        <f>SUM(I97:L98)</f>
        <v>714304</v>
      </c>
      <c r="J96" s="350"/>
      <c r="K96" s="350"/>
      <c r="L96" s="351"/>
    </row>
    <row r="97" spans="1:12" ht="19.5" customHeight="1" thickBot="1">
      <c r="A97" s="64" t="s">
        <v>200</v>
      </c>
      <c r="B97" s="333" t="s">
        <v>589</v>
      </c>
      <c r="C97" s="333"/>
      <c r="D97" s="333"/>
      <c r="E97" s="333"/>
      <c r="F97" s="333"/>
      <c r="G97" s="333"/>
      <c r="H97" s="333"/>
      <c r="I97" s="334">
        <f>SUM(L46)</f>
        <v>534626</v>
      </c>
      <c r="J97" s="335"/>
      <c r="K97" s="335"/>
      <c r="L97" s="336"/>
    </row>
    <row r="98" spans="1:12" ht="19.5" customHeight="1" thickBot="1">
      <c r="A98" s="64" t="s">
        <v>201</v>
      </c>
      <c r="B98" s="333" t="s">
        <v>590</v>
      </c>
      <c r="C98" s="333"/>
      <c r="D98" s="333"/>
      <c r="E98" s="333"/>
      <c r="F98" s="333"/>
      <c r="G98" s="333"/>
      <c r="H98" s="333"/>
      <c r="I98" s="334">
        <f>SUM(L47)</f>
        <v>179678</v>
      </c>
      <c r="J98" s="335"/>
      <c r="K98" s="335"/>
      <c r="L98" s="336"/>
    </row>
    <row r="99" spans="1:12" ht="30" customHeight="1" thickBot="1">
      <c r="A99" s="64" t="s">
        <v>202</v>
      </c>
      <c r="B99" s="344" t="s">
        <v>558</v>
      </c>
      <c r="C99" s="344"/>
      <c r="D99" s="344"/>
      <c r="E99" s="344"/>
      <c r="F99" s="344"/>
      <c r="G99" s="344"/>
      <c r="H99" s="344"/>
      <c r="I99" s="337">
        <f>I100-I101</f>
        <v>-346966</v>
      </c>
      <c r="J99" s="350"/>
      <c r="K99" s="350"/>
      <c r="L99" s="351"/>
    </row>
    <row r="100" spans="1:12" ht="19.5" customHeight="1" thickBot="1">
      <c r="A100" s="64" t="s">
        <v>203</v>
      </c>
      <c r="B100" s="333" t="s">
        <v>570</v>
      </c>
      <c r="C100" s="333"/>
      <c r="D100" s="333"/>
      <c r="E100" s="333"/>
      <c r="F100" s="333"/>
      <c r="G100" s="333"/>
      <c r="H100" s="333"/>
      <c r="I100" s="334">
        <f>SUM(L43)</f>
        <v>0</v>
      </c>
      <c r="J100" s="335"/>
      <c r="K100" s="335"/>
      <c r="L100" s="336"/>
    </row>
    <row r="101" spans="1:12" ht="19.5" customHeight="1" thickBot="1">
      <c r="A101" s="64" t="s">
        <v>204</v>
      </c>
      <c r="B101" s="333" t="s">
        <v>587</v>
      </c>
      <c r="C101" s="333"/>
      <c r="D101" s="333"/>
      <c r="E101" s="333"/>
      <c r="F101" s="333"/>
      <c r="G101" s="333"/>
      <c r="H101" s="333"/>
      <c r="I101" s="334">
        <f>SUM(L74)</f>
        <v>346966</v>
      </c>
      <c r="J101" s="357"/>
      <c r="K101" s="357"/>
      <c r="L101" s="358"/>
    </row>
    <row r="102" spans="1:12" ht="30" customHeight="1" thickBot="1">
      <c r="A102" s="64" t="s">
        <v>205</v>
      </c>
      <c r="B102" s="344" t="s">
        <v>559</v>
      </c>
      <c r="C102" s="344"/>
      <c r="D102" s="344"/>
      <c r="E102" s="344"/>
      <c r="F102" s="344"/>
      <c r="G102" s="344"/>
      <c r="H102" s="344"/>
      <c r="I102" s="337">
        <f>L91+I96+I99</f>
        <v>0</v>
      </c>
      <c r="J102" s="335"/>
      <c r="K102" s="335"/>
      <c r="L102" s="336"/>
    </row>
  </sheetData>
  <sheetProtection/>
  <mergeCells count="39">
    <mergeCell ref="E4:H4"/>
    <mergeCell ref="B50:H50"/>
    <mergeCell ref="B41:H41"/>
    <mergeCell ref="C42:H42"/>
    <mergeCell ref="E9:H9"/>
    <mergeCell ref="B82:L82"/>
    <mergeCell ref="B84:H84"/>
    <mergeCell ref="B5:L5"/>
    <mergeCell ref="B6:H6"/>
    <mergeCell ref="B51:L51"/>
    <mergeCell ref="B52:H52"/>
    <mergeCell ref="I101:L101"/>
    <mergeCell ref="B93:H93"/>
    <mergeCell ref="B94:H94"/>
    <mergeCell ref="B96:H96"/>
    <mergeCell ref="B83:H83"/>
    <mergeCell ref="I98:L98"/>
    <mergeCell ref="I99:L99"/>
    <mergeCell ref="B90:H90"/>
    <mergeCell ref="B92:H92"/>
    <mergeCell ref="B89:H89"/>
    <mergeCell ref="B95:L95"/>
    <mergeCell ref="B99:H99"/>
    <mergeCell ref="B86:H86"/>
    <mergeCell ref="B88:H88"/>
    <mergeCell ref="B87:H87"/>
    <mergeCell ref="B91:H91"/>
    <mergeCell ref="I96:L96"/>
    <mergeCell ref="I97:L97"/>
    <mergeCell ref="B100:H100"/>
    <mergeCell ref="B101:H101"/>
    <mergeCell ref="I100:L100"/>
    <mergeCell ref="I102:L102"/>
    <mergeCell ref="E80:H80"/>
    <mergeCell ref="B81:L81"/>
    <mergeCell ref="B97:H97"/>
    <mergeCell ref="B98:H98"/>
    <mergeCell ref="B102:H102"/>
    <mergeCell ref="B85:H85"/>
  </mergeCells>
  <printOptions horizontalCentered="1"/>
  <pageMargins left="0.7086614173228347" right="0.7086614173228347" top="0.7480314960629921" bottom="0.7480314960629921" header="0.31496062992125984" footer="0.31496062992125984"/>
  <pageSetup horizontalDpi="600" verticalDpi="600" orientation="portrait" paperSize="8" scale="56"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DG78"/>
  <sheetViews>
    <sheetView view="pageBreakPreview" zoomScaleSheetLayoutView="100" zoomScalePageLayoutView="0" workbookViewId="0" topLeftCell="CN1">
      <selection activeCell="DC1" sqref="DC1"/>
    </sheetView>
  </sheetViews>
  <sheetFormatPr defaultColWidth="9.140625" defaultRowHeight="15"/>
  <cols>
    <col min="1" max="1" width="4.421875" style="67" customWidth="1"/>
    <col min="2" max="2" width="4.140625" style="61" customWidth="1"/>
    <col min="3" max="3" width="5.7109375" style="61" customWidth="1"/>
    <col min="4" max="5" width="8.7109375" style="61" customWidth="1"/>
    <col min="6" max="7" width="10.7109375" style="61" customWidth="1"/>
    <col min="8" max="8" width="78.7109375" style="61" customWidth="1"/>
    <col min="9" max="15" width="15.7109375" style="61" customWidth="1"/>
    <col min="16" max="16" width="4.421875" style="67" customWidth="1"/>
    <col min="17" max="17" width="4.140625" style="61" customWidth="1"/>
    <col min="18" max="18" width="5.7109375" style="61" customWidth="1"/>
    <col min="19" max="20" width="8.7109375" style="61" customWidth="1"/>
    <col min="21" max="22" width="10.7109375" style="61" customWidth="1"/>
    <col min="23" max="23" width="78.7109375" style="61" customWidth="1"/>
    <col min="24" max="30" width="15.7109375" style="61" customWidth="1"/>
    <col min="31" max="31" width="4.421875" style="67" customWidth="1"/>
    <col min="32" max="32" width="4.140625" style="61" customWidth="1"/>
    <col min="33" max="33" width="5.7109375" style="61" customWidth="1"/>
    <col min="34" max="35" width="8.7109375" style="61" customWidth="1"/>
    <col min="36" max="37" width="10.7109375" style="61" customWidth="1"/>
    <col min="38" max="38" width="78.7109375" style="61" customWidth="1"/>
    <col min="39" max="45" width="15.7109375" style="61" customWidth="1"/>
    <col min="46" max="46" width="4.421875" style="67" customWidth="1"/>
    <col min="47" max="47" width="4.140625" style="61" customWidth="1"/>
    <col min="48" max="48" width="5.7109375" style="61" customWidth="1"/>
    <col min="49" max="50" width="8.7109375" style="61" customWidth="1"/>
    <col min="51" max="52" width="10.7109375" style="61" customWidth="1"/>
    <col min="53" max="53" width="78.7109375" style="61" customWidth="1"/>
    <col min="54" max="60" width="15.7109375" style="61" customWidth="1"/>
    <col min="61" max="61" width="4.421875" style="67" customWidth="1"/>
    <col min="62" max="62" width="4.140625" style="61" customWidth="1"/>
    <col min="63" max="63" width="5.7109375" style="61" customWidth="1"/>
    <col min="64" max="65" width="8.7109375" style="61" customWidth="1"/>
    <col min="66" max="67" width="10.7109375" style="61" customWidth="1"/>
    <col min="68" max="68" width="78.7109375" style="61" customWidth="1"/>
    <col min="69" max="75" width="15.7109375" style="61" customWidth="1"/>
    <col min="76" max="76" width="4.421875" style="67" customWidth="1"/>
    <col min="77" max="77" width="4.140625" style="61" customWidth="1"/>
    <col min="78" max="78" width="5.7109375" style="61" customWidth="1"/>
    <col min="79" max="80" width="8.7109375" style="61" customWidth="1"/>
    <col min="81" max="82" width="10.7109375" style="61" customWidth="1"/>
    <col min="83" max="83" width="78.7109375" style="61" customWidth="1"/>
    <col min="84" max="90" width="15.7109375" style="61" customWidth="1"/>
    <col min="91" max="91" width="4.421875" style="67" customWidth="1"/>
    <col min="92" max="92" width="4.140625" style="61" customWidth="1"/>
    <col min="93" max="93" width="5.7109375" style="61" customWidth="1"/>
    <col min="94" max="95" width="8.7109375" style="61" customWidth="1"/>
    <col min="96" max="97" width="10.7109375" style="61" customWidth="1"/>
    <col min="98" max="98" width="78.7109375" style="61" customWidth="1"/>
    <col min="99" max="99" width="14.57421875" style="61" customWidth="1"/>
    <col min="100" max="100" width="14.421875" style="61" customWidth="1"/>
    <col min="101" max="106" width="13.7109375" style="61" customWidth="1"/>
    <col min="107" max="107" width="15.7109375" style="61" customWidth="1"/>
    <col min="108" max="16384" width="9.140625" style="61" customWidth="1"/>
  </cols>
  <sheetData>
    <row r="1" spans="15:107" ht="15" customHeight="1">
      <c r="O1" s="60" t="s">
        <v>1399</v>
      </c>
      <c r="AD1" s="60" t="s">
        <v>1399</v>
      </c>
      <c r="AS1" s="60" t="s">
        <v>1399</v>
      </c>
      <c r="BH1" s="60" t="s">
        <v>1399</v>
      </c>
      <c r="BW1" s="60" t="s">
        <v>1399</v>
      </c>
      <c r="CL1" s="60" t="s">
        <v>1399</v>
      </c>
      <c r="DA1" s="60"/>
      <c r="DB1" s="60"/>
      <c r="DC1" s="60" t="s">
        <v>1399</v>
      </c>
    </row>
    <row r="2" ht="15" customHeight="1"/>
    <row r="3" spans="15:107" ht="15" customHeight="1" thickBot="1">
      <c r="O3" s="60" t="s">
        <v>8</v>
      </c>
      <c r="AD3" s="60" t="s">
        <v>8</v>
      </c>
      <c r="AS3" s="60" t="s">
        <v>8</v>
      </c>
      <c r="BH3" s="60" t="s">
        <v>8</v>
      </c>
      <c r="BW3" s="60" t="s">
        <v>8</v>
      </c>
      <c r="CL3" s="60" t="s">
        <v>8</v>
      </c>
      <c r="DA3" s="60"/>
      <c r="DB3" s="60"/>
      <c r="DC3" s="60" t="s">
        <v>8</v>
      </c>
    </row>
    <row r="4" spans="1:107" s="65" customFormat="1" ht="15" customHeight="1" thickBot="1">
      <c r="A4" s="64"/>
      <c r="B4" s="66" t="s">
        <v>9</v>
      </c>
      <c r="C4" s="66" t="s">
        <v>10</v>
      </c>
      <c r="D4" s="66" t="s">
        <v>11</v>
      </c>
      <c r="E4" s="338" t="s">
        <v>12</v>
      </c>
      <c r="F4" s="339"/>
      <c r="G4" s="339"/>
      <c r="H4" s="340"/>
      <c r="I4" s="66" t="s">
        <v>13</v>
      </c>
      <c r="J4" s="66" t="s">
        <v>124</v>
      </c>
      <c r="K4" s="66" t="s">
        <v>125</v>
      </c>
      <c r="L4" s="66" t="s">
        <v>126</v>
      </c>
      <c r="M4" s="66" t="s">
        <v>127</v>
      </c>
      <c r="N4" s="66" t="s">
        <v>128</v>
      </c>
      <c r="O4" s="66" t="s">
        <v>129</v>
      </c>
      <c r="P4" s="64"/>
      <c r="Q4" s="66" t="s">
        <v>132</v>
      </c>
      <c r="R4" s="66" t="s">
        <v>133</v>
      </c>
      <c r="S4" s="66" t="s">
        <v>134</v>
      </c>
      <c r="T4" s="338" t="s">
        <v>135</v>
      </c>
      <c r="U4" s="339"/>
      <c r="V4" s="339"/>
      <c r="W4" s="340"/>
      <c r="X4" s="66" t="s">
        <v>136</v>
      </c>
      <c r="Y4" s="66" t="s">
        <v>137</v>
      </c>
      <c r="Z4" s="66" t="s">
        <v>138</v>
      </c>
      <c r="AA4" s="66" t="s">
        <v>139</v>
      </c>
      <c r="AB4" s="66" t="s">
        <v>140</v>
      </c>
      <c r="AC4" s="66" t="s">
        <v>141</v>
      </c>
      <c r="AD4" s="66" t="s">
        <v>142</v>
      </c>
      <c r="AE4" s="64"/>
      <c r="AF4" s="66" t="s">
        <v>143</v>
      </c>
      <c r="AG4" s="66" t="s">
        <v>144</v>
      </c>
      <c r="AH4" s="66" t="s">
        <v>145</v>
      </c>
      <c r="AI4" s="338" t="s">
        <v>146</v>
      </c>
      <c r="AJ4" s="339"/>
      <c r="AK4" s="339"/>
      <c r="AL4" s="340"/>
      <c r="AM4" s="66" t="s">
        <v>147</v>
      </c>
      <c r="AN4" s="66" t="s">
        <v>148</v>
      </c>
      <c r="AO4" s="66" t="s">
        <v>149</v>
      </c>
      <c r="AP4" s="66" t="s">
        <v>150</v>
      </c>
      <c r="AQ4" s="66" t="s">
        <v>151</v>
      </c>
      <c r="AR4" s="66" t="s">
        <v>152</v>
      </c>
      <c r="AS4" s="66" t="s">
        <v>153</v>
      </c>
      <c r="AT4" s="64"/>
      <c r="AU4" s="66" t="s">
        <v>154</v>
      </c>
      <c r="AV4" s="66" t="s">
        <v>155</v>
      </c>
      <c r="AW4" s="66" t="s">
        <v>156</v>
      </c>
      <c r="AX4" s="338" t="s">
        <v>157</v>
      </c>
      <c r="AY4" s="339"/>
      <c r="AZ4" s="339"/>
      <c r="BA4" s="340"/>
      <c r="BB4" s="66" t="s">
        <v>158</v>
      </c>
      <c r="BC4" s="66" t="s">
        <v>159</v>
      </c>
      <c r="BD4" s="66" t="s">
        <v>160</v>
      </c>
      <c r="BE4" s="66" t="s">
        <v>161</v>
      </c>
      <c r="BF4" s="66" t="s">
        <v>162</v>
      </c>
      <c r="BG4" s="66" t="s">
        <v>163</v>
      </c>
      <c r="BH4" s="66" t="s">
        <v>226</v>
      </c>
      <c r="BI4" s="64"/>
      <c r="BJ4" s="66" t="s">
        <v>227</v>
      </c>
      <c r="BK4" s="66" t="s">
        <v>228</v>
      </c>
      <c r="BL4" s="66" t="s">
        <v>231</v>
      </c>
      <c r="BM4" s="338" t="s">
        <v>229</v>
      </c>
      <c r="BN4" s="339"/>
      <c r="BO4" s="339"/>
      <c r="BP4" s="340"/>
      <c r="BQ4" s="66" t="s">
        <v>230</v>
      </c>
      <c r="BR4" s="66" t="s">
        <v>233</v>
      </c>
      <c r="BS4" s="66" t="s">
        <v>562</v>
      </c>
      <c r="BT4" s="66" t="s">
        <v>232</v>
      </c>
      <c r="BU4" s="66" t="s">
        <v>236</v>
      </c>
      <c r="BV4" s="66" t="s">
        <v>237</v>
      </c>
      <c r="BW4" s="66" t="s">
        <v>238</v>
      </c>
      <c r="BX4" s="64"/>
      <c r="BY4" s="66" t="s">
        <v>239</v>
      </c>
      <c r="BZ4" s="66" t="s">
        <v>240</v>
      </c>
      <c r="CA4" s="66" t="s">
        <v>241</v>
      </c>
      <c r="CB4" s="338" t="s">
        <v>848</v>
      </c>
      <c r="CC4" s="339"/>
      <c r="CD4" s="339"/>
      <c r="CE4" s="340"/>
      <c r="CF4" s="66" t="s">
        <v>849</v>
      </c>
      <c r="CG4" s="66" t="s">
        <v>850</v>
      </c>
      <c r="CH4" s="66" t="s">
        <v>851</v>
      </c>
      <c r="CI4" s="66" t="s">
        <v>852</v>
      </c>
      <c r="CJ4" s="66" t="s">
        <v>853</v>
      </c>
      <c r="CK4" s="66" t="s">
        <v>854</v>
      </c>
      <c r="CL4" s="66" t="s">
        <v>855</v>
      </c>
      <c r="CM4" s="64"/>
      <c r="CN4" s="66" t="s">
        <v>856</v>
      </c>
      <c r="CO4" s="66" t="s">
        <v>857</v>
      </c>
      <c r="CP4" s="66" t="s">
        <v>858</v>
      </c>
      <c r="CQ4" s="338" t="s">
        <v>859</v>
      </c>
      <c r="CR4" s="339"/>
      <c r="CS4" s="339"/>
      <c r="CT4" s="340"/>
      <c r="CU4" s="66" t="s">
        <v>860</v>
      </c>
      <c r="CV4" s="66" t="s">
        <v>861</v>
      </c>
      <c r="CW4" s="66" t="s">
        <v>862</v>
      </c>
      <c r="CX4" s="66" t="s">
        <v>863</v>
      </c>
      <c r="CY4" s="66" t="s">
        <v>864</v>
      </c>
      <c r="CZ4" s="66" t="s">
        <v>865</v>
      </c>
      <c r="DA4" s="66" t="s">
        <v>980</v>
      </c>
      <c r="DB4" s="66" t="s">
        <v>866</v>
      </c>
      <c r="DC4" s="66" t="s">
        <v>867</v>
      </c>
    </row>
    <row r="5" spans="1:111" ht="42" customHeight="1" thickBot="1">
      <c r="A5" s="64" t="s">
        <v>20</v>
      </c>
      <c r="B5" s="341" t="s">
        <v>646</v>
      </c>
      <c r="C5" s="342"/>
      <c r="D5" s="342"/>
      <c r="E5" s="342"/>
      <c r="F5" s="342"/>
      <c r="G5" s="342"/>
      <c r="H5" s="342"/>
      <c r="I5" s="342"/>
      <c r="J5" s="342"/>
      <c r="K5" s="342"/>
      <c r="L5" s="342"/>
      <c r="M5" s="342"/>
      <c r="N5" s="342"/>
      <c r="O5" s="342"/>
      <c r="P5" s="64" t="s">
        <v>182</v>
      </c>
      <c r="Q5" s="341" t="s">
        <v>646</v>
      </c>
      <c r="R5" s="342"/>
      <c r="S5" s="342"/>
      <c r="T5" s="342"/>
      <c r="U5" s="342"/>
      <c r="V5" s="342"/>
      <c r="W5" s="342"/>
      <c r="X5" s="342"/>
      <c r="Y5" s="342"/>
      <c r="Z5" s="342"/>
      <c r="AA5" s="342"/>
      <c r="AB5" s="342"/>
      <c r="AC5" s="342"/>
      <c r="AD5" s="342"/>
      <c r="AE5" s="64" t="s">
        <v>282</v>
      </c>
      <c r="AF5" s="341" t="s">
        <v>646</v>
      </c>
      <c r="AG5" s="342"/>
      <c r="AH5" s="342"/>
      <c r="AI5" s="342"/>
      <c r="AJ5" s="342"/>
      <c r="AK5" s="342"/>
      <c r="AL5" s="342"/>
      <c r="AM5" s="342"/>
      <c r="AN5" s="342"/>
      <c r="AO5" s="342"/>
      <c r="AP5" s="342"/>
      <c r="AQ5" s="342"/>
      <c r="AR5" s="342"/>
      <c r="AS5" s="342"/>
      <c r="AT5" s="64" t="s">
        <v>357</v>
      </c>
      <c r="AU5" s="341" t="s">
        <v>646</v>
      </c>
      <c r="AV5" s="342"/>
      <c r="AW5" s="342"/>
      <c r="AX5" s="342"/>
      <c r="AY5" s="342"/>
      <c r="AZ5" s="342"/>
      <c r="BA5" s="342"/>
      <c r="BB5" s="342"/>
      <c r="BC5" s="342"/>
      <c r="BD5" s="342"/>
      <c r="BE5" s="342"/>
      <c r="BF5" s="342"/>
      <c r="BG5" s="342"/>
      <c r="BH5" s="342"/>
      <c r="BI5" s="64" t="s">
        <v>431</v>
      </c>
      <c r="BJ5" s="341" t="s">
        <v>646</v>
      </c>
      <c r="BK5" s="342"/>
      <c r="BL5" s="342"/>
      <c r="BM5" s="342"/>
      <c r="BN5" s="342"/>
      <c r="BO5" s="342"/>
      <c r="BP5" s="342"/>
      <c r="BQ5" s="342"/>
      <c r="BR5" s="342"/>
      <c r="BS5" s="342"/>
      <c r="BT5" s="342"/>
      <c r="BU5" s="342"/>
      <c r="BV5" s="342"/>
      <c r="BW5" s="342"/>
      <c r="BX5" s="64" t="s">
        <v>504</v>
      </c>
      <c r="BY5" s="341" t="s">
        <v>646</v>
      </c>
      <c r="BZ5" s="342"/>
      <c r="CA5" s="342"/>
      <c r="CB5" s="342"/>
      <c r="CC5" s="342"/>
      <c r="CD5" s="342"/>
      <c r="CE5" s="342"/>
      <c r="CF5" s="342"/>
      <c r="CG5" s="342"/>
      <c r="CH5" s="342"/>
      <c r="CI5" s="342"/>
      <c r="CJ5" s="342"/>
      <c r="CK5" s="342"/>
      <c r="CL5" s="342"/>
      <c r="CM5" s="64" t="s">
        <v>768</v>
      </c>
      <c r="CN5" s="341" t="s">
        <v>960</v>
      </c>
      <c r="CO5" s="342"/>
      <c r="CP5" s="342"/>
      <c r="CQ5" s="342"/>
      <c r="CR5" s="342"/>
      <c r="CS5" s="342"/>
      <c r="CT5" s="342"/>
      <c r="CU5" s="342"/>
      <c r="CV5" s="342"/>
      <c r="CW5" s="342"/>
      <c r="CX5" s="342"/>
      <c r="CY5" s="342"/>
      <c r="CZ5" s="342"/>
      <c r="DA5" s="342"/>
      <c r="DB5" s="342"/>
      <c r="DC5" s="244"/>
      <c r="DD5" s="230"/>
      <c r="DE5" s="230"/>
      <c r="DF5" s="230"/>
      <c r="DG5" s="230"/>
    </row>
    <row r="6" spans="1:107" ht="115.5" thickBot="1">
      <c r="A6" s="64" t="s">
        <v>21</v>
      </c>
      <c r="B6" s="353" t="s">
        <v>123</v>
      </c>
      <c r="C6" s="353"/>
      <c r="D6" s="353"/>
      <c r="E6" s="353"/>
      <c r="F6" s="353"/>
      <c r="G6" s="353"/>
      <c r="H6" s="353"/>
      <c r="I6" s="57" t="s">
        <v>835</v>
      </c>
      <c r="J6" s="57" t="s">
        <v>603</v>
      </c>
      <c r="K6" s="57" t="s">
        <v>604</v>
      </c>
      <c r="L6" s="57" t="s">
        <v>605</v>
      </c>
      <c r="M6" s="57" t="s">
        <v>606</v>
      </c>
      <c r="N6" s="57" t="s">
        <v>607</v>
      </c>
      <c r="O6" s="229" t="s">
        <v>836</v>
      </c>
      <c r="P6" s="64" t="s">
        <v>183</v>
      </c>
      <c r="Q6" s="353" t="s">
        <v>123</v>
      </c>
      <c r="R6" s="353"/>
      <c r="S6" s="353"/>
      <c r="T6" s="353"/>
      <c r="U6" s="353"/>
      <c r="V6" s="353"/>
      <c r="W6" s="353"/>
      <c r="X6" s="57" t="s">
        <v>608</v>
      </c>
      <c r="Y6" s="57" t="s">
        <v>609</v>
      </c>
      <c r="Z6" s="57" t="s">
        <v>610</v>
      </c>
      <c r="AA6" s="57" t="s">
        <v>837</v>
      </c>
      <c r="AB6" s="57" t="s">
        <v>838</v>
      </c>
      <c r="AC6" s="229" t="s">
        <v>611</v>
      </c>
      <c r="AD6" s="57" t="s">
        <v>612</v>
      </c>
      <c r="AE6" s="64" t="s">
        <v>283</v>
      </c>
      <c r="AF6" s="353" t="s">
        <v>123</v>
      </c>
      <c r="AG6" s="353"/>
      <c r="AH6" s="353"/>
      <c r="AI6" s="353"/>
      <c r="AJ6" s="353"/>
      <c r="AK6" s="353"/>
      <c r="AL6" s="353"/>
      <c r="AM6" s="57" t="s">
        <v>613</v>
      </c>
      <c r="AN6" s="57" t="s">
        <v>614</v>
      </c>
      <c r="AO6" s="57" t="s">
        <v>615</v>
      </c>
      <c r="AP6" s="57" t="s">
        <v>616</v>
      </c>
      <c r="AQ6" s="57" t="s">
        <v>617</v>
      </c>
      <c r="AR6" s="229" t="s">
        <v>618</v>
      </c>
      <c r="AS6" s="57" t="s">
        <v>619</v>
      </c>
      <c r="AT6" s="64" t="s">
        <v>358</v>
      </c>
      <c r="AU6" s="353" t="s">
        <v>123</v>
      </c>
      <c r="AV6" s="353"/>
      <c r="AW6" s="353"/>
      <c r="AX6" s="353"/>
      <c r="AY6" s="353"/>
      <c r="AZ6" s="353"/>
      <c r="BA6" s="353"/>
      <c r="BB6" s="57" t="s">
        <v>839</v>
      </c>
      <c r="BC6" s="57" t="s">
        <v>840</v>
      </c>
      <c r="BD6" s="57" t="s">
        <v>621</v>
      </c>
      <c r="BE6" s="57" t="s">
        <v>622</v>
      </c>
      <c r="BF6" s="57" t="s">
        <v>623</v>
      </c>
      <c r="BG6" s="229" t="s">
        <v>842</v>
      </c>
      <c r="BH6" s="57" t="s">
        <v>624</v>
      </c>
      <c r="BI6" s="64" t="s">
        <v>432</v>
      </c>
      <c r="BJ6" s="353" t="s">
        <v>123</v>
      </c>
      <c r="BK6" s="353"/>
      <c r="BL6" s="353"/>
      <c r="BM6" s="353"/>
      <c r="BN6" s="353"/>
      <c r="BO6" s="353"/>
      <c r="BP6" s="353"/>
      <c r="BQ6" s="57" t="s">
        <v>625</v>
      </c>
      <c r="BR6" s="57" t="s">
        <v>626</v>
      </c>
      <c r="BS6" s="57" t="s">
        <v>627</v>
      </c>
      <c r="BT6" s="57" t="s">
        <v>841</v>
      </c>
      <c r="BU6" s="57" t="s">
        <v>628</v>
      </c>
      <c r="BV6" s="229" t="s">
        <v>629</v>
      </c>
      <c r="BW6" s="57" t="s">
        <v>843</v>
      </c>
      <c r="BX6" s="64" t="s">
        <v>505</v>
      </c>
      <c r="BY6" s="353" t="s">
        <v>123</v>
      </c>
      <c r="BZ6" s="353"/>
      <c r="CA6" s="353"/>
      <c r="CB6" s="353"/>
      <c r="CC6" s="353"/>
      <c r="CD6" s="353"/>
      <c r="CE6" s="353"/>
      <c r="CF6" s="57" t="s">
        <v>630</v>
      </c>
      <c r="CG6" s="57" t="s">
        <v>631</v>
      </c>
      <c r="CH6" s="57" t="s">
        <v>844</v>
      </c>
      <c r="CI6" s="57" t="s">
        <v>845</v>
      </c>
      <c r="CJ6" s="57" t="s">
        <v>632</v>
      </c>
      <c r="CK6" s="57" t="s">
        <v>633</v>
      </c>
      <c r="CL6" s="57" t="s">
        <v>634</v>
      </c>
      <c r="CM6" s="64" t="s">
        <v>769</v>
      </c>
      <c r="CN6" s="353" t="s">
        <v>123</v>
      </c>
      <c r="CO6" s="353"/>
      <c r="CP6" s="353"/>
      <c r="CQ6" s="353"/>
      <c r="CR6" s="353"/>
      <c r="CS6" s="353"/>
      <c r="CT6" s="353"/>
      <c r="CU6" s="57" t="s">
        <v>846</v>
      </c>
      <c r="CV6" s="57" t="s">
        <v>847</v>
      </c>
      <c r="CW6" s="57" t="s">
        <v>635</v>
      </c>
      <c r="CX6" s="57" t="s">
        <v>636</v>
      </c>
      <c r="CY6" s="57" t="s">
        <v>883</v>
      </c>
      <c r="CZ6" s="57" t="s">
        <v>637</v>
      </c>
      <c r="DA6" s="57" t="s">
        <v>971</v>
      </c>
      <c r="DB6" s="57" t="s">
        <v>638</v>
      </c>
      <c r="DC6" s="105" t="s">
        <v>972</v>
      </c>
    </row>
    <row r="7" spans="1:107" s="134" customFormat="1" ht="15" customHeight="1" thickBot="1">
      <c r="A7" s="64" t="s">
        <v>22</v>
      </c>
      <c r="B7" s="130" t="s">
        <v>99</v>
      </c>
      <c r="C7" s="131" t="s">
        <v>100</v>
      </c>
      <c r="D7" s="132"/>
      <c r="E7" s="132"/>
      <c r="F7" s="132"/>
      <c r="G7" s="132"/>
      <c r="H7" s="132"/>
      <c r="I7" s="133">
        <f>SUM(I8,I12,I19,I29)</f>
        <v>54674</v>
      </c>
      <c r="J7" s="133">
        <f aca="true" t="shared" si="0" ref="J7:O7">SUM(J8,J12,J19,J29)</f>
        <v>0</v>
      </c>
      <c r="K7" s="133">
        <f t="shared" si="0"/>
        <v>76354</v>
      </c>
      <c r="L7" s="133">
        <f t="shared" si="0"/>
        <v>7000</v>
      </c>
      <c r="M7" s="133">
        <f t="shared" si="0"/>
        <v>0</v>
      </c>
      <c r="N7" s="133">
        <f t="shared" si="0"/>
        <v>17500</v>
      </c>
      <c r="O7" s="133">
        <f t="shared" si="0"/>
        <v>2895165</v>
      </c>
      <c r="P7" s="64" t="s">
        <v>184</v>
      </c>
      <c r="Q7" s="130" t="s">
        <v>99</v>
      </c>
      <c r="R7" s="131" t="s">
        <v>100</v>
      </c>
      <c r="S7" s="132"/>
      <c r="T7" s="132"/>
      <c r="U7" s="132"/>
      <c r="V7" s="132"/>
      <c r="W7" s="212"/>
      <c r="X7" s="204">
        <f aca="true" t="shared" si="1" ref="X7:AD7">SUM(X8,X12,X19,X29)</f>
        <v>0</v>
      </c>
      <c r="Y7" s="204">
        <f t="shared" si="1"/>
        <v>0</v>
      </c>
      <c r="Z7" s="204">
        <f t="shared" si="1"/>
        <v>0</v>
      </c>
      <c r="AA7" s="204">
        <f t="shared" si="1"/>
        <v>28380</v>
      </c>
      <c r="AB7" s="204">
        <f t="shared" si="1"/>
        <v>41076</v>
      </c>
      <c r="AC7" s="204">
        <f t="shared" si="1"/>
        <v>0</v>
      </c>
      <c r="AD7" s="204">
        <f t="shared" si="1"/>
        <v>0</v>
      </c>
      <c r="AE7" s="64" t="s">
        <v>284</v>
      </c>
      <c r="AF7" s="130" t="s">
        <v>99</v>
      </c>
      <c r="AG7" s="131" t="s">
        <v>100</v>
      </c>
      <c r="AH7" s="132"/>
      <c r="AI7" s="132"/>
      <c r="AJ7" s="132"/>
      <c r="AK7" s="132"/>
      <c r="AL7" s="212"/>
      <c r="AM7" s="204">
        <f aca="true" t="shared" si="2" ref="AM7:AS7">SUM(AM8,AM12,AM19,AM29)</f>
        <v>500</v>
      </c>
      <c r="AN7" s="204">
        <f t="shared" si="2"/>
        <v>0</v>
      </c>
      <c r="AO7" s="204">
        <f t="shared" si="2"/>
        <v>11675</v>
      </c>
      <c r="AP7" s="204">
        <f t="shared" si="2"/>
        <v>5000</v>
      </c>
      <c r="AQ7" s="204">
        <f t="shared" si="2"/>
        <v>0</v>
      </c>
      <c r="AR7" s="204">
        <f t="shared" si="2"/>
        <v>9081</v>
      </c>
      <c r="AS7" s="204">
        <f t="shared" si="2"/>
        <v>0</v>
      </c>
      <c r="AT7" s="64" t="s">
        <v>359</v>
      </c>
      <c r="AU7" s="130" t="s">
        <v>99</v>
      </c>
      <c r="AV7" s="131" t="s">
        <v>100</v>
      </c>
      <c r="AW7" s="132"/>
      <c r="AX7" s="132"/>
      <c r="AY7" s="132"/>
      <c r="AZ7" s="132"/>
      <c r="BA7" s="212"/>
      <c r="BB7" s="204">
        <f aca="true" t="shared" si="3" ref="BB7:BH7">SUM(BB8,BB12,BB19,BB29)</f>
        <v>0</v>
      </c>
      <c r="BC7" s="204">
        <f t="shared" si="3"/>
        <v>0</v>
      </c>
      <c r="BD7" s="204">
        <f t="shared" si="3"/>
        <v>24500</v>
      </c>
      <c r="BE7" s="204">
        <f t="shared" si="3"/>
        <v>0</v>
      </c>
      <c r="BF7" s="204">
        <f t="shared" si="3"/>
        <v>0</v>
      </c>
      <c r="BG7" s="204">
        <f t="shared" si="3"/>
        <v>0</v>
      </c>
      <c r="BH7" s="204">
        <f t="shared" si="3"/>
        <v>0</v>
      </c>
      <c r="BI7" s="64" t="s">
        <v>433</v>
      </c>
      <c r="BJ7" s="130" t="s">
        <v>99</v>
      </c>
      <c r="BK7" s="131" t="s">
        <v>100</v>
      </c>
      <c r="BL7" s="132"/>
      <c r="BM7" s="132"/>
      <c r="BN7" s="132"/>
      <c r="BO7" s="132"/>
      <c r="BP7" s="212"/>
      <c r="BQ7" s="204">
        <f aca="true" t="shared" si="4" ref="BQ7:BW7">SUM(BQ8,BQ12,BQ19,BQ29)</f>
        <v>0</v>
      </c>
      <c r="BR7" s="204">
        <f t="shared" si="4"/>
        <v>26940</v>
      </c>
      <c r="BS7" s="204">
        <f t="shared" si="4"/>
        <v>11256</v>
      </c>
      <c r="BT7" s="204">
        <f t="shared" si="4"/>
        <v>240</v>
      </c>
      <c r="BU7" s="204">
        <f t="shared" si="4"/>
        <v>0</v>
      </c>
      <c r="BV7" s="204">
        <f t="shared" si="4"/>
        <v>0</v>
      </c>
      <c r="BW7" s="204">
        <f t="shared" si="4"/>
        <v>396</v>
      </c>
      <c r="BX7" s="64" t="s">
        <v>506</v>
      </c>
      <c r="BY7" s="130" t="s">
        <v>99</v>
      </c>
      <c r="BZ7" s="131" t="s">
        <v>100</v>
      </c>
      <c r="CA7" s="132"/>
      <c r="CB7" s="132"/>
      <c r="CC7" s="132"/>
      <c r="CD7" s="132"/>
      <c r="CE7" s="212"/>
      <c r="CF7" s="204">
        <f aca="true" t="shared" si="5" ref="CF7:CL7">SUM(CF8,CF12,CF19,CF29)</f>
        <v>0</v>
      </c>
      <c r="CG7" s="204">
        <f t="shared" si="5"/>
        <v>0</v>
      </c>
      <c r="CH7" s="204">
        <f t="shared" si="5"/>
        <v>0</v>
      </c>
      <c r="CI7" s="204">
        <f t="shared" si="5"/>
        <v>0</v>
      </c>
      <c r="CJ7" s="204">
        <f t="shared" si="5"/>
        <v>0</v>
      </c>
      <c r="CK7" s="204">
        <f t="shared" si="5"/>
        <v>0</v>
      </c>
      <c r="CL7" s="204">
        <f t="shared" si="5"/>
        <v>0</v>
      </c>
      <c r="CM7" s="64" t="s">
        <v>770</v>
      </c>
      <c r="CN7" s="130" t="s">
        <v>99</v>
      </c>
      <c r="CO7" s="131" t="s">
        <v>100</v>
      </c>
      <c r="CP7" s="132"/>
      <c r="CQ7" s="132"/>
      <c r="CR7" s="132"/>
      <c r="CS7" s="132"/>
      <c r="CT7" s="212"/>
      <c r="CU7" s="204">
        <f aca="true" t="shared" si="6" ref="CU7:DB7">SUM(CU8,CU12,CU19,CU29)</f>
        <v>0</v>
      </c>
      <c r="CV7" s="204">
        <f t="shared" si="6"/>
        <v>0</v>
      </c>
      <c r="CW7" s="204">
        <f t="shared" si="6"/>
        <v>0</v>
      </c>
      <c r="CX7" s="204">
        <f t="shared" si="6"/>
        <v>499</v>
      </c>
      <c r="CY7" s="204">
        <f t="shared" si="6"/>
        <v>0</v>
      </c>
      <c r="CZ7" s="204">
        <f t="shared" si="6"/>
        <v>300</v>
      </c>
      <c r="DA7" s="204">
        <f>SUM(DA8,DA12,DA19,DA29)</f>
        <v>0</v>
      </c>
      <c r="DB7" s="204">
        <f t="shared" si="6"/>
        <v>0</v>
      </c>
      <c r="DC7" s="182">
        <f aca="true" t="shared" si="7" ref="DC7:DC50">SUM(I7:O7,X7:AD7,AM7:AS7,BB7:BH7,BQ7:BW7,CF7:CL7,CU7:DB7)</f>
        <v>3210536</v>
      </c>
    </row>
    <row r="8" spans="1:107" s="134" customFormat="1" ht="15" customHeight="1" thickBot="1">
      <c r="A8" s="64" t="s">
        <v>23</v>
      </c>
      <c r="B8" s="135"/>
      <c r="C8" s="136" t="s">
        <v>101</v>
      </c>
      <c r="D8" s="140" t="s">
        <v>564</v>
      </c>
      <c r="E8" s="141"/>
      <c r="F8" s="141"/>
      <c r="G8" s="141"/>
      <c r="H8" s="141"/>
      <c r="I8" s="142">
        <f>SUM(I9:I11)</f>
        <v>33462</v>
      </c>
      <c r="J8" s="142">
        <f aca="true" t="shared" si="8" ref="J8:O8">SUM(J9:J11)</f>
        <v>0</v>
      </c>
      <c r="K8" s="142">
        <f t="shared" si="8"/>
        <v>0</v>
      </c>
      <c r="L8" s="142">
        <f t="shared" si="8"/>
        <v>7000</v>
      </c>
      <c r="M8" s="142">
        <f t="shared" si="8"/>
        <v>0</v>
      </c>
      <c r="N8" s="142">
        <f t="shared" si="8"/>
        <v>1500</v>
      </c>
      <c r="O8" s="142">
        <f t="shared" si="8"/>
        <v>819975</v>
      </c>
      <c r="P8" s="64" t="s">
        <v>185</v>
      </c>
      <c r="Q8" s="135"/>
      <c r="R8" s="136" t="s">
        <v>101</v>
      </c>
      <c r="S8" s="140" t="s">
        <v>564</v>
      </c>
      <c r="T8" s="141"/>
      <c r="U8" s="141"/>
      <c r="V8" s="141"/>
      <c r="W8" s="213"/>
      <c r="X8" s="205">
        <f aca="true" t="shared" si="9" ref="X8:AD8">SUM(X9:X11)</f>
        <v>0</v>
      </c>
      <c r="Y8" s="205">
        <f t="shared" si="9"/>
        <v>0</v>
      </c>
      <c r="Z8" s="205">
        <f t="shared" si="9"/>
        <v>0</v>
      </c>
      <c r="AA8" s="205">
        <f t="shared" si="9"/>
        <v>28380</v>
      </c>
      <c r="AB8" s="205">
        <f t="shared" si="9"/>
        <v>41076</v>
      </c>
      <c r="AC8" s="205">
        <f t="shared" si="9"/>
        <v>0</v>
      </c>
      <c r="AD8" s="205">
        <f t="shared" si="9"/>
        <v>0</v>
      </c>
      <c r="AE8" s="64" t="s">
        <v>285</v>
      </c>
      <c r="AF8" s="135"/>
      <c r="AG8" s="136" t="s">
        <v>101</v>
      </c>
      <c r="AH8" s="140" t="s">
        <v>564</v>
      </c>
      <c r="AI8" s="141"/>
      <c r="AJ8" s="141"/>
      <c r="AK8" s="141"/>
      <c r="AL8" s="213"/>
      <c r="AM8" s="205">
        <f aca="true" t="shared" si="10" ref="AM8:AS8">SUM(AM9:AM11)</f>
        <v>0</v>
      </c>
      <c r="AN8" s="205">
        <f t="shared" si="10"/>
        <v>0</v>
      </c>
      <c r="AO8" s="205">
        <f t="shared" si="10"/>
        <v>0</v>
      </c>
      <c r="AP8" s="205">
        <f t="shared" si="10"/>
        <v>0</v>
      </c>
      <c r="AQ8" s="205">
        <f t="shared" si="10"/>
        <v>0</v>
      </c>
      <c r="AR8" s="205">
        <f t="shared" si="10"/>
        <v>0</v>
      </c>
      <c r="AS8" s="205">
        <f t="shared" si="10"/>
        <v>0</v>
      </c>
      <c r="AT8" s="64" t="s">
        <v>360</v>
      </c>
      <c r="AU8" s="135"/>
      <c r="AV8" s="136" t="s">
        <v>101</v>
      </c>
      <c r="AW8" s="140" t="s">
        <v>564</v>
      </c>
      <c r="AX8" s="141"/>
      <c r="AY8" s="141"/>
      <c r="AZ8" s="141"/>
      <c r="BA8" s="213"/>
      <c r="BB8" s="205">
        <f aca="true" t="shared" si="11" ref="BB8:BH8">SUM(BB9:BB11)</f>
        <v>0</v>
      </c>
      <c r="BC8" s="205">
        <f t="shared" si="11"/>
        <v>0</v>
      </c>
      <c r="BD8" s="205">
        <f t="shared" si="11"/>
        <v>0</v>
      </c>
      <c r="BE8" s="205">
        <f t="shared" si="11"/>
        <v>0</v>
      </c>
      <c r="BF8" s="205">
        <f t="shared" si="11"/>
        <v>0</v>
      </c>
      <c r="BG8" s="205">
        <f t="shared" si="11"/>
        <v>0</v>
      </c>
      <c r="BH8" s="205">
        <f t="shared" si="11"/>
        <v>0</v>
      </c>
      <c r="BI8" s="64" t="s">
        <v>434</v>
      </c>
      <c r="BJ8" s="135"/>
      <c r="BK8" s="136" t="s">
        <v>101</v>
      </c>
      <c r="BL8" s="140" t="s">
        <v>564</v>
      </c>
      <c r="BM8" s="141"/>
      <c r="BN8" s="141"/>
      <c r="BO8" s="141"/>
      <c r="BP8" s="213"/>
      <c r="BQ8" s="205">
        <f aca="true" t="shared" si="12" ref="BQ8:BW8">SUM(BQ9:BQ11)</f>
        <v>0</v>
      </c>
      <c r="BR8" s="205">
        <f t="shared" si="12"/>
        <v>26940</v>
      </c>
      <c r="BS8" s="205">
        <f t="shared" si="12"/>
        <v>11256</v>
      </c>
      <c r="BT8" s="205">
        <f t="shared" si="12"/>
        <v>0</v>
      </c>
      <c r="BU8" s="205">
        <f t="shared" si="12"/>
        <v>0</v>
      </c>
      <c r="BV8" s="205">
        <f t="shared" si="12"/>
        <v>0</v>
      </c>
      <c r="BW8" s="205">
        <f t="shared" si="12"/>
        <v>0</v>
      </c>
      <c r="BX8" s="64" t="s">
        <v>507</v>
      </c>
      <c r="BY8" s="135"/>
      <c r="BZ8" s="136" t="s">
        <v>101</v>
      </c>
      <c r="CA8" s="140" t="s">
        <v>564</v>
      </c>
      <c r="CB8" s="141"/>
      <c r="CC8" s="141"/>
      <c r="CD8" s="141"/>
      <c r="CE8" s="213"/>
      <c r="CF8" s="205">
        <f aca="true" t="shared" si="13" ref="CF8:CL8">SUM(CF9:CF11)</f>
        <v>0</v>
      </c>
      <c r="CG8" s="205">
        <f t="shared" si="13"/>
        <v>0</v>
      </c>
      <c r="CH8" s="205">
        <f t="shared" si="13"/>
        <v>0</v>
      </c>
      <c r="CI8" s="205">
        <f t="shared" si="13"/>
        <v>0</v>
      </c>
      <c r="CJ8" s="205">
        <f t="shared" si="13"/>
        <v>0</v>
      </c>
      <c r="CK8" s="205">
        <f t="shared" si="13"/>
        <v>0</v>
      </c>
      <c r="CL8" s="205">
        <f t="shared" si="13"/>
        <v>0</v>
      </c>
      <c r="CM8" s="64" t="s">
        <v>771</v>
      </c>
      <c r="CN8" s="135"/>
      <c r="CO8" s="136" t="s">
        <v>101</v>
      </c>
      <c r="CP8" s="140" t="s">
        <v>564</v>
      </c>
      <c r="CQ8" s="141"/>
      <c r="CR8" s="141"/>
      <c r="CS8" s="141"/>
      <c r="CT8" s="213"/>
      <c r="CU8" s="205">
        <f aca="true" t="shared" si="14" ref="CU8:DB8">SUM(CU9:CU11)</f>
        <v>0</v>
      </c>
      <c r="CV8" s="205">
        <f t="shared" si="14"/>
        <v>0</v>
      </c>
      <c r="CW8" s="205">
        <f t="shared" si="14"/>
        <v>0</v>
      </c>
      <c r="CX8" s="205">
        <f t="shared" si="14"/>
        <v>0</v>
      </c>
      <c r="CY8" s="205">
        <f t="shared" si="14"/>
        <v>0</v>
      </c>
      <c r="CZ8" s="205">
        <f t="shared" si="14"/>
        <v>0</v>
      </c>
      <c r="DA8" s="205">
        <f>SUM(DA9:DA11)</f>
        <v>0</v>
      </c>
      <c r="DB8" s="205">
        <f t="shared" si="14"/>
        <v>0</v>
      </c>
      <c r="DC8" s="185">
        <f t="shared" si="7"/>
        <v>969589</v>
      </c>
    </row>
    <row r="9" spans="1:107" s="110" customFormat="1" ht="15" customHeight="1" thickBot="1">
      <c r="A9" s="64" t="s">
        <v>24</v>
      </c>
      <c r="B9" s="109"/>
      <c r="C9" s="112"/>
      <c r="D9" s="95" t="s">
        <v>653</v>
      </c>
      <c r="E9" s="364" t="s">
        <v>652</v>
      </c>
      <c r="F9" s="364"/>
      <c r="G9" s="364"/>
      <c r="H9" s="365"/>
      <c r="I9" s="108"/>
      <c r="J9" s="108"/>
      <c r="K9" s="108"/>
      <c r="L9" s="108"/>
      <c r="M9" s="108"/>
      <c r="N9" s="108"/>
      <c r="O9" s="108">
        <f>833062+Javaslat!L14</f>
        <v>819975</v>
      </c>
      <c r="P9" s="64" t="s">
        <v>186</v>
      </c>
      <c r="Q9" s="109"/>
      <c r="R9" s="112"/>
      <c r="S9" s="95" t="s">
        <v>653</v>
      </c>
      <c r="T9" s="364" t="s">
        <v>652</v>
      </c>
      <c r="U9" s="364"/>
      <c r="V9" s="364"/>
      <c r="W9" s="365"/>
      <c r="X9" s="206"/>
      <c r="Y9" s="206"/>
      <c r="Z9" s="206"/>
      <c r="AA9" s="206"/>
      <c r="AB9" s="206"/>
      <c r="AC9" s="206"/>
      <c r="AD9" s="206"/>
      <c r="AE9" s="64" t="s">
        <v>286</v>
      </c>
      <c r="AF9" s="109"/>
      <c r="AG9" s="112"/>
      <c r="AH9" s="95" t="s">
        <v>653</v>
      </c>
      <c r="AI9" s="364" t="s">
        <v>652</v>
      </c>
      <c r="AJ9" s="364"/>
      <c r="AK9" s="364"/>
      <c r="AL9" s="365"/>
      <c r="AM9" s="206"/>
      <c r="AN9" s="206"/>
      <c r="AO9" s="206"/>
      <c r="AP9" s="206"/>
      <c r="AQ9" s="206"/>
      <c r="AR9" s="206"/>
      <c r="AS9" s="206"/>
      <c r="AT9" s="64" t="s">
        <v>361</v>
      </c>
      <c r="AU9" s="109"/>
      <c r="AV9" s="112"/>
      <c r="AW9" s="95" t="s">
        <v>653</v>
      </c>
      <c r="AX9" s="364" t="s">
        <v>652</v>
      </c>
      <c r="AY9" s="364"/>
      <c r="AZ9" s="364"/>
      <c r="BA9" s="365"/>
      <c r="BB9" s="206"/>
      <c r="BC9" s="206"/>
      <c r="BD9" s="206"/>
      <c r="BE9" s="206"/>
      <c r="BF9" s="206"/>
      <c r="BG9" s="206"/>
      <c r="BH9" s="206"/>
      <c r="BI9" s="64" t="s">
        <v>435</v>
      </c>
      <c r="BJ9" s="109"/>
      <c r="BK9" s="112"/>
      <c r="BL9" s="95" t="s">
        <v>653</v>
      </c>
      <c r="BM9" s="364" t="s">
        <v>652</v>
      </c>
      <c r="BN9" s="364"/>
      <c r="BO9" s="364"/>
      <c r="BP9" s="365"/>
      <c r="BQ9" s="206"/>
      <c r="BR9" s="206"/>
      <c r="BS9" s="206"/>
      <c r="BT9" s="206"/>
      <c r="BU9" s="206"/>
      <c r="BV9" s="206"/>
      <c r="BW9" s="206"/>
      <c r="BX9" s="64" t="s">
        <v>508</v>
      </c>
      <c r="BY9" s="109"/>
      <c r="BZ9" s="112"/>
      <c r="CA9" s="95" t="s">
        <v>653</v>
      </c>
      <c r="CB9" s="364" t="s">
        <v>652</v>
      </c>
      <c r="CC9" s="364"/>
      <c r="CD9" s="364"/>
      <c r="CE9" s="365"/>
      <c r="CF9" s="206"/>
      <c r="CG9" s="206"/>
      <c r="CH9" s="206"/>
      <c r="CI9" s="206"/>
      <c r="CJ9" s="206"/>
      <c r="CK9" s="206"/>
      <c r="CL9" s="206"/>
      <c r="CM9" s="64" t="s">
        <v>772</v>
      </c>
      <c r="CN9" s="109"/>
      <c r="CO9" s="112"/>
      <c r="CP9" s="95" t="s">
        <v>653</v>
      </c>
      <c r="CQ9" s="364" t="s">
        <v>652</v>
      </c>
      <c r="CR9" s="364"/>
      <c r="CS9" s="364"/>
      <c r="CT9" s="365"/>
      <c r="CU9" s="206"/>
      <c r="CV9" s="206"/>
      <c r="CW9" s="206"/>
      <c r="CX9" s="206"/>
      <c r="CY9" s="206"/>
      <c r="CZ9" s="206"/>
      <c r="DA9" s="206"/>
      <c r="DB9" s="206"/>
      <c r="DC9" s="181">
        <f t="shared" si="7"/>
        <v>819975</v>
      </c>
    </row>
    <row r="10" spans="1:107" s="110" customFormat="1" ht="15" customHeight="1" thickBot="1">
      <c r="A10" s="64" t="s">
        <v>25</v>
      </c>
      <c r="B10" s="109"/>
      <c r="C10" s="112"/>
      <c r="D10" s="113" t="s">
        <v>1365</v>
      </c>
      <c r="E10" s="308" t="s">
        <v>1169</v>
      </c>
      <c r="F10" s="307"/>
      <c r="G10" s="307"/>
      <c r="H10" s="307"/>
      <c r="I10" s="108">
        <f>Javaslat!L70</f>
        <v>5917</v>
      </c>
      <c r="J10" s="108"/>
      <c r="K10" s="108"/>
      <c r="L10" s="108"/>
      <c r="M10" s="108"/>
      <c r="N10" s="108"/>
      <c r="O10" s="108"/>
      <c r="P10" s="64" t="s">
        <v>187</v>
      </c>
      <c r="Q10" s="109"/>
      <c r="R10" s="112"/>
      <c r="S10" s="113" t="s">
        <v>1365</v>
      </c>
      <c r="T10" s="308" t="s">
        <v>1169</v>
      </c>
      <c r="U10" s="307"/>
      <c r="V10" s="307"/>
      <c r="W10" s="309"/>
      <c r="X10" s="206"/>
      <c r="Y10" s="206"/>
      <c r="Z10" s="206"/>
      <c r="AA10" s="206"/>
      <c r="AB10" s="206"/>
      <c r="AC10" s="206"/>
      <c r="AD10" s="206"/>
      <c r="AE10" s="64" t="s">
        <v>287</v>
      </c>
      <c r="AF10" s="109"/>
      <c r="AG10" s="112"/>
      <c r="AH10" s="113" t="s">
        <v>1365</v>
      </c>
      <c r="AI10" s="308" t="s">
        <v>1169</v>
      </c>
      <c r="AJ10" s="307"/>
      <c r="AK10" s="307"/>
      <c r="AL10" s="309"/>
      <c r="AM10" s="206"/>
      <c r="AN10" s="206"/>
      <c r="AO10" s="206"/>
      <c r="AP10" s="206"/>
      <c r="AQ10" s="206"/>
      <c r="AR10" s="206"/>
      <c r="AS10" s="206"/>
      <c r="AT10" s="64" t="s">
        <v>362</v>
      </c>
      <c r="AU10" s="109"/>
      <c r="AV10" s="112"/>
      <c r="AW10" s="113" t="s">
        <v>1365</v>
      </c>
      <c r="AX10" s="308" t="s">
        <v>1169</v>
      </c>
      <c r="AY10" s="307"/>
      <c r="AZ10" s="307"/>
      <c r="BA10" s="309"/>
      <c r="BB10" s="206"/>
      <c r="BC10" s="206"/>
      <c r="BD10" s="206"/>
      <c r="BE10" s="206"/>
      <c r="BF10" s="206"/>
      <c r="BG10" s="206"/>
      <c r="BH10" s="206"/>
      <c r="BI10" s="64" t="s">
        <v>436</v>
      </c>
      <c r="BJ10" s="109"/>
      <c r="BK10" s="112"/>
      <c r="BL10" s="113" t="s">
        <v>1365</v>
      </c>
      <c r="BM10" s="308" t="s">
        <v>1169</v>
      </c>
      <c r="BN10" s="307"/>
      <c r="BO10" s="307"/>
      <c r="BP10" s="309"/>
      <c r="BQ10" s="206"/>
      <c r="BR10" s="206"/>
      <c r="BS10" s="206"/>
      <c r="BT10" s="206"/>
      <c r="BU10" s="206"/>
      <c r="BV10" s="206"/>
      <c r="BW10" s="206"/>
      <c r="BX10" s="64" t="s">
        <v>509</v>
      </c>
      <c r="BY10" s="109"/>
      <c r="BZ10" s="112"/>
      <c r="CA10" s="113" t="s">
        <v>1365</v>
      </c>
      <c r="CB10" s="308" t="s">
        <v>1169</v>
      </c>
      <c r="CC10" s="307"/>
      <c r="CD10" s="307"/>
      <c r="CE10" s="309"/>
      <c r="CF10" s="206"/>
      <c r="CG10" s="206"/>
      <c r="CH10" s="206"/>
      <c r="CI10" s="206"/>
      <c r="CJ10" s="206"/>
      <c r="CK10" s="206"/>
      <c r="CL10" s="206"/>
      <c r="CM10" s="64" t="s">
        <v>773</v>
      </c>
      <c r="CN10" s="109"/>
      <c r="CO10" s="112"/>
      <c r="CP10" s="113" t="s">
        <v>1365</v>
      </c>
      <c r="CQ10" s="308" t="s">
        <v>1169</v>
      </c>
      <c r="CR10" s="307"/>
      <c r="CS10" s="307"/>
      <c r="CT10" s="309"/>
      <c r="CU10" s="206"/>
      <c r="CV10" s="206"/>
      <c r="CW10" s="206"/>
      <c r="CX10" s="206"/>
      <c r="CY10" s="206"/>
      <c r="CZ10" s="206"/>
      <c r="DA10" s="206"/>
      <c r="DB10" s="206"/>
      <c r="DC10" s="181">
        <f t="shared" si="7"/>
        <v>5917</v>
      </c>
    </row>
    <row r="11" spans="1:107" s="110" customFormat="1" ht="15" customHeight="1" thickBot="1">
      <c r="A11" s="64" t="s">
        <v>26</v>
      </c>
      <c r="B11" s="109"/>
      <c r="C11" s="112"/>
      <c r="D11" s="95" t="s">
        <v>654</v>
      </c>
      <c r="E11" s="107" t="s">
        <v>655</v>
      </c>
      <c r="F11" s="114"/>
      <c r="G11" s="114"/>
      <c r="H11" s="107"/>
      <c r="I11" s="108">
        <f>30682+Javaslat!L72</f>
        <v>27545</v>
      </c>
      <c r="J11" s="108"/>
      <c r="K11" s="108"/>
      <c r="L11" s="108">
        <v>7000</v>
      </c>
      <c r="M11" s="108"/>
      <c r="N11" s="108">
        <f>1000+Javaslat!L80</f>
        <v>1500</v>
      </c>
      <c r="O11" s="108"/>
      <c r="P11" s="64" t="s">
        <v>188</v>
      </c>
      <c r="Q11" s="109"/>
      <c r="R11" s="112"/>
      <c r="S11" s="95" t="s">
        <v>654</v>
      </c>
      <c r="T11" s="107" t="s">
        <v>655</v>
      </c>
      <c r="U11" s="114"/>
      <c r="V11" s="114"/>
      <c r="W11" s="214"/>
      <c r="X11" s="206"/>
      <c r="Y11" s="206"/>
      <c r="Z11" s="206"/>
      <c r="AA11" s="206">
        <f>27098+Javaslat!L85</f>
        <v>28380</v>
      </c>
      <c r="AB11" s="206">
        <f>20764+Javaslat!L93</f>
        <v>41076</v>
      </c>
      <c r="AC11" s="206"/>
      <c r="AD11" s="206"/>
      <c r="AE11" s="64" t="s">
        <v>288</v>
      </c>
      <c r="AF11" s="109"/>
      <c r="AG11" s="112"/>
      <c r="AH11" s="95" t="s">
        <v>654</v>
      </c>
      <c r="AI11" s="107" t="s">
        <v>655</v>
      </c>
      <c r="AJ11" s="114"/>
      <c r="AK11" s="114"/>
      <c r="AL11" s="214"/>
      <c r="AM11" s="206"/>
      <c r="AN11" s="206"/>
      <c r="AO11" s="206"/>
      <c r="AP11" s="206"/>
      <c r="AQ11" s="206"/>
      <c r="AR11" s="206"/>
      <c r="AS11" s="206"/>
      <c r="AT11" s="64" t="s">
        <v>363</v>
      </c>
      <c r="AU11" s="109"/>
      <c r="AV11" s="112"/>
      <c r="AW11" s="95" t="s">
        <v>654</v>
      </c>
      <c r="AX11" s="107" t="s">
        <v>655</v>
      </c>
      <c r="AY11" s="114"/>
      <c r="AZ11" s="114"/>
      <c r="BA11" s="214"/>
      <c r="BB11" s="206"/>
      <c r="BC11" s="206"/>
      <c r="BD11" s="206"/>
      <c r="BE11" s="206"/>
      <c r="BF11" s="206"/>
      <c r="BG11" s="206"/>
      <c r="BH11" s="206"/>
      <c r="BI11" s="64" t="s">
        <v>437</v>
      </c>
      <c r="BJ11" s="109"/>
      <c r="BK11" s="112"/>
      <c r="BL11" s="95" t="s">
        <v>654</v>
      </c>
      <c r="BM11" s="107" t="s">
        <v>655</v>
      </c>
      <c r="BN11" s="114"/>
      <c r="BO11" s="114"/>
      <c r="BP11" s="214"/>
      <c r="BQ11" s="206"/>
      <c r="BR11" s="206">
        <v>26940</v>
      </c>
      <c r="BS11" s="206">
        <v>11256</v>
      </c>
      <c r="BT11" s="206"/>
      <c r="BU11" s="206"/>
      <c r="BV11" s="206"/>
      <c r="BW11" s="206"/>
      <c r="BX11" s="64" t="s">
        <v>510</v>
      </c>
      <c r="BY11" s="109"/>
      <c r="BZ11" s="112"/>
      <c r="CA11" s="95" t="s">
        <v>654</v>
      </c>
      <c r="CB11" s="107" t="s">
        <v>655</v>
      </c>
      <c r="CC11" s="114"/>
      <c r="CD11" s="114"/>
      <c r="CE11" s="214"/>
      <c r="CF11" s="206"/>
      <c r="CG11" s="206"/>
      <c r="CH11" s="206"/>
      <c r="CI11" s="206"/>
      <c r="CJ11" s="206"/>
      <c r="CK11" s="206"/>
      <c r="CL11" s="206"/>
      <c r="CM11" s="64" t="s">
        <v>774</v>
      </c>
      <c r="CN11" s="109"/>
      <c r="CO11" s="112"/>
      <c r="CP11" s="95" t="s">
        <v>654</v>
      </c>
      <c r="CQ11" s="107" t="s">
        <v>655</v>
      </c>
      <c r="CR11" s="114"/>
      <c r="CS11" s="114"/>
      <c r="CT11" s="214"/>
      <c r="CU11" s="206"/>
      <c r="CV11" s="206"/>
      <c r="CW11" s="206"/>
      <c r="CX11" s="206"/>
      <c r="CY11" s="206"/>
      <c r="CZ11" s="206"/>
      <c r="DA11" s="206"/>
      <c r="DB11" s="206"/>
      <c r="DC11" s="181">
        <f t="shared" si="7"/>
        <v>143697</v>
      </c>
    </row>
    <row r="12" spans="1:107" s="134" customFormat="1" ht="15" customHeight="1" thickBot="1">
      <c r="A12" s="64" t="s">
        <v>27</v>
      </c>
      <c r="B12" s="135"/>
      <c r="C12" s="136" t="s">
        <v>103</v>
      </c>
      <c r="D12" s="137" t="s">
        <v>102</v>
      </c>
      <c r="E12" s="138"/>
      <c r="F12" s="138"/>
      <c r="G12" s="138"/>
      <c r="H12" s="138"/>
      <c r="I12" s="139">
        <f>SUM(I13:I18)</f>
        <v>600</v>
      </c>
      <c r="J12" s="139">
        <f aca="true" t="shared" si="15" ref="J12:O12">SUM(J13:J18)</f>
        <v>0</v>
      </c>
      <c r="K12" s="139">
        <f t="shared" si="15"/>
        <v>0</v>
      </c>
      <c r="L12" s="139">
        <f t="shared" si="15"/>
        <v>0</v>
      </c>
      <c r="M12" s="139">
        <f t="shared" si="15"/>
        <v>0</v>
      </c>
      <c r="N12" s="139">
        <f t="shared" si="15"/>
        <v>0</v>
      </c>
      <c r="O12" s="139">
        <f t="shared" si="15"/>
        <v>2075190</v>
      </c>
      <c r="P12" s="64" t="s">
        <v>189</v>
      </c>
      <c r="Q12" s="135"/>
      <c r="R12" s="136" t="s">
        <v>103</v>
      </c>
      <c r="S12" s="137" t="s">
        <v>102</v>
      </c>
      <c r="T12" s="138"/>
      <c r="U12" s="138"/>
      <c r="V12" s="138"/>
      <c r="W12" s="215"/>
      <c r="X12" s="207">
        <f aca="true" t="shared" si="16" ref="X12:AD12">SUM(X13:X18)</f>
        <v>0</v>
      </c>
      <c r="Y12" s="207">
        <f t="shared" si="16"/>
        <v>0</v>
      </c>
      <c r="Z12" s="207">
        <f t="shared" si="16"/>
        <v>0</v>
      </c>
      <c r="AA12" s="207">
        <f t="shared" si="16"/>
        <v>0</v>
      </c>
      <c r="AB12" s="207">
        <f t="shared" si="16"/>
        <v>0</v>
      </c>
      <c r="AC12" s="207">
        <f t="shared" si="16"/>
        <v>0</v>
      </c>
      <c r="AD12" s="207">
        <f t="shared" si="16"/>
        <v>0</v>
      </c>
      <c r="AE12" s="64" t="s">
        <v>289</v>
      </c>
      <c r="AF12" s="135"/>
      <c r="AG12" s="136" t="s">
        <v>103</v>
      </c>
      <c r="AH12" s="137" t="s">
        <v>102</v>
      </c>
      <c r="AI12" s="138"/>
      <c r="AJ12" s="138"/>
      <c r="AK12" s="138"/>
      <c r="AL12" s="215"/>
      <c r="AM12" s="207">
        <f aca="true" t="shared" si="17" ref="AM12:AS12">SUM(AM13:AM18)</f>
        <v>0</v>
      </c>
      <c r="AN12" s="207">
        <f t="shared" si="17"/>
        <v>0</v>
      </c>
      <c r="AO12" s="207">
        <f t="shared" si="17"/>
        <v>0</v>
      </c>
      <c r="AP12" s="207">
        <f t="shared" si="17"/>
        <v>0</v>
      </c>
      <c r="AQ12" s="207">
        <f t="shared" si="17"/>
        <v>0</v>
      </c>
      <c r="AR12" s="207">
        <f t="shared" si="17"/>
        <v>0</v>
      </c>
      <c r="AS12" s="207">
        <f t="shared" si="17"/>
        <v>0</v>
      </c>
      <c r="AT12" s="64" t="s">
        <v>364</v>
      </c>
      <c r="AU12" s="135"/>
      <c r="AV12" s="136" t="s">
        <v>103</v>
      </c>
      <c r="AW12" s="137" t="s">
        <v>102</v>
      </c>
      <c r="AX12" s="138"/>
      <c r="AY12" s="138"/>
      <c r="AZ12" s="138"/>
      <c r="BA12" s="215"/>
      <c r="BB12" s="207">
        <f aca="true" t="shared" si="18" ref="BB12:BH12">SUM(BB13:BB18)</f>
        <v>0</v>
      </c>
      <c r="BC12" s="207">
        <f t="shared" si="18"/>
        <v>0</v>
      </c>
      <c r="BD12" s="207">
        <f t="shared" si="18"/>
        <v>0</v>
      </c>
      <c r="BE12" s="207">
        <f t="shared" si="18"/>
        <v>0</v>
      </c>
      <c r="BF12" s="207">
        <f t="shared" si="18"/>
        <v>0</v>
      </c>
      <c r="BG12" s="207">
        <f t="shared" si="18"/>
        <v>0</v>
      </c>
      <c r="BH12" s="207">
        <f t="shared" si="18"/>
        <v>0</v>
      </c>
      <c r="BI12" s="64" t="s">
        <v>438</v>
      </c>
      <c r="BJ12" s="135"/>
      <c r="BK12" s="136" t="s">
        <v>103</v>
      </c>
      <c r="BL12" s="137" t="s">
        <v>102</v>
      </c>
      <c r="BM12" s="138"/>
      <c r="BN12" s="138"/>
      <c r="BO12" s="138"/>
      <c r="BP12" s="215"/>
      <c r="BQ12" s="207">
        <f aca="true" t="shared" si="19" ref="BQ12:BW12">SUM(BQ13:BQ18)</f>
        <v>0</v>
      </c>
      <c r="BR12" s="207">
        <f t="shared" si="19"/>
        <v>0</v>
      </c>
      <c r="BS12" s="207">
        <f t="shared" si="19"/>
        <v>0</v>
      </c>
      <c r="BT12" s="207">
        <f t="shared" si="19"/>
        <v>0</v>
      </c>
      <c r="BU12" s="207">
        <f t="shared" si="19"/>
        <v>0</v>
      </c>
      <c r="BV12" s="207">
        <f t="shared" si="19"/>
        <v>0</v>
      </c>
      <c r="BW12" s="207">
        <f t="shared" si="19"/>
        <v>0</v>
      </c>
      <c r="BX12" s="64" t="s">
        <v>511</v>
      </c>
      <c r="BY12" s="135"/>
      <c r="BZ12" s="136" t="s">
        <v>103</v>
      </c>
      <c r="CA12" s="137" t="s">
        <v>102</v>
      </c>
      <c r="CB12" s="138"/>
      <c r="CC12" s="138"/>
      <c r="CD12" s="138"/>
      <c r="CE12" s="215"/>
      <c r="CF12" s="207">
        <f aca="true" t="shared" si="20" ref="CF12:CL12">SUM(CF13:CF18)</f>
        <v>0</v>
      </c>
      <c r="CG12" s="207">
        <f t="shared" si="20"/>
        <v>0</v>
      </c>
      <c r="CH12" s="207">
        <f t="shared" si="20"/>
        <v>0</v>
      </c>
      <c r="CI12" s="207">
        <f t="shared" si="20"/>
        <v>0</v>
      </c>
      <c r="CJ12" s="207">
        <f t="shared" si="20"/>
        <v>0</v>
      </c>
      <c r="CK12" s="207">
        <f t="shared" si="20"/>
        <v>0</v>
      </c>
      <c r="CL12" s="207">
        <f t="shared" si="20"/>
        <v>0</v>
      </c>
      <c r="CM12" s="64" t="s">
        <v>775</v>
      </c>
      <c r="CN12" s="135"/>
      <c r="CO12" s="136" t="s">
        <v>103</v>
      </c>
      <c r="CP12" s="137" t="s">
        <v>102</v>
      </c>
      <c r="CQ12" s="138"/>
      <c r="CR12" s="138"/>
      <c r="CS12" s="138"/>
      <c r="CT12" s="215"/>
      <c r="CU12" s="207">
        <f aca="true" t="shared" si="21" ref="CU12:DB12">SUM(CU13:CU18)</f>
        <v>0</v>
      </c>
      <c r="CV12" s="207">
        <f t="shared" si="21"/>
        <v>0</v>
      </c>
      <c r="CW12" s="207">
        <f t="shared" si="21"/>
        <v>0</v>
      </c>
      <c r="CX12" s="207">
        <f t="shared" si="21"/>
        <v>0</v>
      </c>
      <c r="CY12" s="207">
        <f t="shared" si="21"/>
        <v>0</v>
      </c>
      <c r="CZ12" s="207">
        <f t="shared" si="21"/>
        <v>0</v>
      </c>
      <c r="DA12" s="207">
        <f>SUM(DA13:DA18)</f>
        <v>0</v>
      </c>
      <c r="DB12" s="207">
        <f t="shared" si="21"/>
        <v>0</v>
      </c>
      <c r="DC12" s="183">
        <f t="shared" si="7"/>
        <v>2075790</v>
      </c>
    </row>
    <row r="13" spans="1:107" s="56" customFormat="1" ht="15" customHeight="1" thickBot="1">
      <c r="A13" s="64" t="s">
        <v>28</v>
      </c>
      <c r="B13" s="53"/>
      <c r="C13" s="54"/>
      <c r="D13" s="106" t="s">
        <v>660</v>
      </c>
      <c r="E13" s="107" t="s">
        <v>661</v>
      </c>
      <c r="F13" s="55"/>
      <c r="G13" s="55"/>
      <c r="H13" s="55"/>
      <c r="I13" s="108"/>
      <c r="J13" s="108"/>
      <c r="K13" s="108"/>
      <c r="L13" s="108"/>
      <c r="M13" s="108"/>
      <c r="N13" s="108"/>
      <c r="O13" s="108">
        <v>30</v>
      </c>
      <c r="P13" s="64" t="s">
        <v>190</v>
      </c>
      <c r="Q13" s="53"/>
      <c r="R13" s="54"/>
      <c r="S13" s="106" t="s">
        <v>660</v>
      </c>
      <c r="T13" s="107" t="s">
        <v>661</v>
      </c>
      <c r="U13" s="55"/>
      <c r="V13" s="55"/>
      <c r="W13" s="216"/>
      <c r="X13" s="206"/>
      <c r="Y13" s="206"/>
      <c r="Z13" s="206"/>
      <c r="AA13" s="206"/>
      <c r="AB13" s="206"/>
      <c r="AC13" s="206"/>
      <c r="AD13" s="206"/>
      <c r="AE13" s="64" t="s">
        <v>290</v>
      </c>
      <c r="AF13" s="53"/>
      <c r="AG13" s="54"/>
      <c r="AH13" s="106" t="s">
        <v>660</v>
      </c>
      <c r="AI13" s="107" t="s">
        <v>661</v>
      </c>
      <c r="AJ13" s="55"/>
      <c r="AK13" s="55"/>
      <c r="AL13" s="216"/>
      <c r="AM13" s="206"/>
      <c r="AN13" s="206"/>
      <c r="AO13" s="206"/>
      <c r="AP13" s="206"/>
      <c r="AQ13" s="206"/>
      <c r="AR13" s="206"/>
      <c r="AS13" s="206"/>
      <c r="AT13" s="64" t="s">
        <v>365</v>
      </c>
      <c r="AU13" s="53"/>
      <c r="AV13" s="54"/>
      <c r="AW13" s="106" t="s">
        <v>660</v>
      </c>
      <c r="AX13" s="107" t="s">
        <v>661</v>
      </c>
      <c r="AY13" s="55"/>
      <c r="AZ13" s="55"/>
      <c r="BA13" s="216"/>
      <c r="BB13" s="206"/>
      <c r="BC13" s="206"/>
      <c r="BD13" s="206"/>
      <c r="BE13" s="206"/>
      <c r="BF13" s="206"/>
      <c r="BG13" s="206"/>
      <c r="BH13" s="206"/>
      <c r="BI13" s="64" t="s">
        <v>439</v>
      </c>
      <c r="BJ13" s="53"/>
      <c r="BK13" s="54"/>
      <c r="BL13" s="106" t="s">
        <v>660</v>
      </c>
      <c r="BM13" s="107" t="s">
        <v>661</v>
      </c>
      <c r="BN13" s="55"/>
      <c r="BO13" s="55"/>
      <c r="BP13" s="216"/>
      <c r="BQ13" s="206"/>
      <c r="BR13" s="206"/>
      <c r="BS13" s="206"/>
      <c r="BT13" s="206"/>
      <c r="BU13" s="206"/>
      <c r="BV13" s="206"/>
      <c r="BW13" s="206"/>
      <c r="BX13" s="64" t="s">
        <v>512</v>
      </c>
      <c r="BY13" s="53"/>
      <c r="BZ13" s="54"/>
      <c r="CA13" s="106" t="s">
        <v>660</v>
      </c>
      <c r="CB13" s="107" t="s">
        <v>661</v>
      </c>
      <c r="CC13" s="55"/>
      <c r="CD13" s="55"/>
      <c r="CE13" s="216"/>
      <c r="CF13" s="206"/>
      <c r="CG13" s="206"/>
      <c r="CH13" s="206"/>
      <c r="CI13" s="206"/>
      <c r="CJ13" s="206"/>
      <c r="CK13" s="206"/>
      <c r="CL13" s="206"/>
      <c r="CM13" s="64" t="s">
        <v>776</v>
      </c>
      <c r="CN13" s="53"/>
      <c r="CO13" s="54"/>
      <c r="CP13" s="106" t="s">
        <v>660</v>
      </c>
      <c r="CQ13" s="107" t="s">
        <v>661</v>
      </c>
      <c r="CR13" s="55"/>
      <c r="CS13" s="55"/>
      <c r="CT13" s="216"/>
      <c r="CU13" s="206"/>
      <c r="CV13" s="206"/>
      <c r="CW13" s="206"/>
      <c r="CX13" s="206"/>
      <c r="CY13" s="206"/>
      <c r="CZ13" s="206"/>
      <c r="DA13" s="206"/>
      <c r="DB13" s="206"/>
      <c r="DC13" s="181">
        <f t="shared" si="7"/>
        <v>30</v>
      </c>
    </row>
    <row r="14" spans="1:107" s="56" customFormat="1" ht="15" customHeight="1" thickBot="1">
      <c r="A14" s="64" t="s">
        <v>29</v>
      </c>
      <c r="B14" s="53"/>
      <c r="C14" s="54"/>
      <c r="D14" s="95" t="s">
        <v>662</v>
      </c>
      <c r="E14" s="107" t="s">
        <v>663</v>
      </c>
      <c r="F14" s="55"/>
      <c r="G14" s="55"/>
      <c r="H14" s="55"/>
      <c r="I14" s="108"/>
      <c r="J14" s="108"/>
      <c r="K14" s="108"/>
      <c r="L14" s="108"/>
      <c r="M14" s="108"/>
      <c r="N14" s="108"/>
      <c r="O14" s="108">
        <v>18640</v>
      </c>
      <c r="P14" s="64" t="s">
        <v>191</v>
      </c>
      <c r="Q14" s="53"/>
      <c r="R14" s="54"/>
      <c r="S14" s="95" t="s">
        <v>662</v>
      </c>
      <c r="T14" s="107" t="s">
        <v>663</v>
      </c>
      <c r="U14" s="55"/>
      <c r="V14" s="55"/>
      <c r="W14" s="216"/>
      <c r="X14" s="206"/>
      <c r="Y14" s="206"/>
      <c r="Z14" s="206"/>
      <c r="AA14" s="206"/>
      <c r="AB14" s="206"/>
      <c r="AC14" s="206"/>
      <c r="AD14" s="206"/>
      <c r="AE14" s="64" t="s">
        <v>291</v>
      </c>
      <c r="AF14" s="53"/>
      <c r="AG14" s="54"/>
      <c r="AH14" s="95" t="s">
        <v>662</v>
      </c>
      <c r="AI14" s="107" t="s">
        <v>663</v>
      </c>
      <c r="AJ14" s="55"/>
      <c r="AK14" s="55"/>
      <c r="AL14" s="216"/>
      <c r="AM14" s="206"/>
      <c r="AN14" s="206"/>
      <c r="AO14" s="206"/>
      <c r="AP14" s="206"/>
      <c r="AQ14" s="206"/>
      <c r="AR14" s="206"/>
      <c r="AS14" s="206"/>
      <c r="AT14" s="64" t="s">
        <v>366</v>
      </c>
      <c r="AU14" s="53"/>
      <c r="AV14" s="54"/>
      <c r="AW14" s="95" t="s">
        <v>662</v>
      </c>
      <c r="AX14" s="107" t="s">
        <v>663</v>
      </c>
      <c r="AY14" s="55"/>
      <c r="AZ14" s="55"/>
      <c r="BA14" s="216"/>
      <c r="BB14" s="206"/>
      <c r="BC14" s="206"/>
      <c r="BD14" s="206"/>
      <c r="BE14" s="206"/>
      <c r="BF14" s="206"/>
      <c r="BG14" s="206"/>
      <c r="BH14" s="206"/>
      <c r="BI14" s="64" t="s">
        <v>440</v>
      </c>
      <c r="BJ14" s="53"/>
      <c r="BK14" s="54"/>
      <c r="BL14" s="95" t="s">
        <v>662</v>
      </c>
      <c r="BM14" s="107" t="s">
        <v>663</v>
      </c>
      <c r="BN14" s="55"/>
      <c r="BO14" s="55"/>
      <c r="BP14" s="216"/>
      <c r="BQ14" s="206"/>
      <c r="BR14" s="206"/>
      <c r="BS14" s="206"/>
      <c r="BT14" s="206"/>
      <c r="BU14" s="206"/>
      <c r="BV14" s="206"/>
      <c r="BW14" s="206"/>
      <c r="BX14" s="64" t="s">
        <v>513</v>
      </c>
      <c r="BY14" s="53"/>
      <c r="BZ14" s="54"/>
      <c r="CA14" s="95" t="s">
        <v>662</v>
      </c>
      <c r="CB14" s="107" t="s">
        <v>663</v>
      </c>
      <c r="CC14" s="55"/>
      <c r="CD14" s="55"/>
      <c r="CE14" s="216"/>
      <c r="CF14" s="206"/>
      <c r="CG14" s="206"/>
      <c r="CH14" s="206"/>
      <c r="CI14" s="206"/>
      <c r="CJ14" s="206"/>
      <c r="CK14" s="206"/>
      <c r="CL14" s="206"/>
      <c r="CM14" s="64" t="s">
        <v>777</v>
      </c>
      <c r="CN14" s="53"/>
      <c r="CO14" s="54"/>
      <c r="CP14" s="95" t="s">
        <v>662</v>
      </c>
      <c r="CQ14" s="107" t="s">
        <v>663</v>
      </c>
      <c r="CR14" s="55"/>
      <c r="CS14" s="55"/>
      <c r="CT14" s="216"/>
      <c r="CU14" s="206"/>
      <c r="CV14" s="206"/>
      <c r="CW14" s="206"/>
      <c r="CX14" s="206"/>
      <c r="CY14" s="206"/>
      <c r="CZ14" s="206"/>
      <c r="DA14" s="206"/>
      <c r="DB14" s="206"/>
      <c r="DC14" s="181">
        <f t="shared" si="7"/>
        <v>18640</v>
      </c>
    </row>
    <row r="15" spans="1:107" s="56" customFormat="1" ht="15" customHeight="1" thickBot="1">
      <c r="A15" s="64" t="s">
        <v>30</v>
      </c>
      <c r="B15" s="53"/>
      <c r="C15" s="54"/>
      <c r="D15" s="95" t="s">
        <v>664</v>
      </c>
      <c r="E15" s="107" t="s">
        <v>665</v>
      </c>
      <c r="F15" s="55"/>
      <c r="G15" s="55"/>
      <c r="H15" s="55"/>
      <c r="I15" s="108"/>
      <c r="J15" s="108"/>
      <c r="K15" s="108"/>
      <c r="L15" s="108"/>
      <c r="M15" s="108"/>
      <c r="N15" s="108"/>
      <c r="O15" s="108">
        <f>1815000+Javaslat!L42</f>
        <v>2000000</v>
      </c>
      <c r="P15" s="64" t="s">
        <v>192</v>
      </c>
      <c r="Q15" s="53"/>
      <c r="R15" s="54"/>
      <c r="S15" s="95" t="s">
        <v>664</v>
      </c>
      <c r="T15" s="107" t="s">
        <v>665</v>
      </c>
      <c r="U15" s="55"/>
      <c r="V15" s="55"/>
      <c r="W15" s="216"/>
      <c r="X15" s="206"/>
      <c r="Y15" s="206"/>
      <c r="Z15" s="206"/>
      <c r="AA15" s="206"/>
      <c r="AB15" s="206"/>
      <c r="AC15" s="206"/>
      <c r="AD15" s="206"/>
      <c r="AE15" s="64" t="s">
        <v>292</v>
      </c>
      <c r="AF15" s="53"/>
      <c r="AG15" s="54"/>
      <c r="AH15" s="95" t="s">
        <v>664</v>
      </c>
      <c r="AI15" s="107" t="s">
        <v>665</v>
      </c>
      <c r="AJ15" s="55"/>
      <c r="AK15" s="55"/>
      <c r="AL15" s="216"/>
      <c r="AM15" s="206"/>
      <c r="AN15" s="206"/>
      <c r="AO15" s="206"/>
      <c r="AP15" s="206"/>
      <c r="AQ15" s="206"/>
      <c r="AR15" s="206"/>
      <c r="AS15" s="206"/>
      <c r="AT15" s="64" t="s">
        <v>367</v>
      </c>
      <c r="AU15" s="53"/>
      <c r="AV15" s="54"/>
      <c r="AW15" s="95" t="s">
        <v>664</v>
      </c>
      <c r="AX15" s="107" t="s">
        <v>665</v>
      </c>
      <c r="AY15" s="55"/>
      <c r="AZ15" s="55"/>
      <c r="BA15" s="216"/>
      <c r="BB15" s="206"/>
      <c r="BC15" s="206"/>
      <c r="BD15" s="206"/>
      <c r="BE15" s="206"/>
      <c r="BF15" s="206"/>
      <c r="BG15" s="206"/>
      <c r="BH15" s="206"/>
      <c r="BI15" s="64" t="s">
        <v>441</v>
      </c>
      <c r="BJ15" s="53"/>
      <c r="BK15" s="54"/>
      <c r="BL15" s="95" t="s">
        <v>664</v>
      </c>
      <c r="BM15" s="107" t="s">
        <v>665</v>
      </c>
      <c r="BN15" s="55"/>
      <c r="BO15" s="55"/>
      <c r="BP15" s="216"/>
      <c r="BQ15" s="206"/>
      <c r="BR15" s="206"/>
      <c r="BS15" s="206"/>
      <c r="BT15" s="206"/>
      <c r="BU15" s="206"/>
      <c r="BV15" s="206"/>
      <c r="BW15" s="206"/>
      <c r="BX15" s="64" t="s">
        <v>514</v>
      </c>
      <c r="BY15" s="53"/>
      <c r="BZ15" s="54"/>
      <c r="CA15" s="95" t="s">
        <v>664</v>
      </c>
      <c r="CB15" s="107" t="s">
        <v>665</v>
      </c>
      <c r="CC15" s="55"/>
      <c r="CD15" s="55"/>
      <c r="CE15" s="216"/>
      <c r="CF15" s="206"/>
      <c r="CG15" s="206"/>
      <c r="CH15" s="206"/>
      <c r="CI15" s="206"/>
      <c r="CJ15" s="206"/>
      <c r="CK15" s="206"/>
      <c r="CL15" s="206"/>
      <c r="CM15" s="64" t="s">
        <v>778</v>
      </c>
      <c r="CN15" s="53"/>
      <c r="CO15" s="54"/>
      <c r="CP15" s="95" t="s">
        <v>664</v>
      </c>
      <c r="CQ15" s="107" t="s">
        <v>665</v>
      </c>
      <c r="CR15" s="55"/>
      <c r="CS15" s="55"/>
      <c r="CT15" s="216"/>
      <c r="CU15" s="206"/>
      <c r="CV15" s="206"/>
      <c r="CW15" s="206"/>
      <c r="CX15" s="206"/>
      <c r="CY15" s="206"/>
      <c r="CZ15" s="206"/>
      <c r="DA15" s="206"/>
      <c r="DB15" s="206"/>
      <c r="DC15" s="181">
        <f t="shared" si="7"/>
        <v>2000000</v>
      </c>
    </row>
    <row r="16" spans="1:107" s="56" customFormat="1" ht="15" customHeight="1" thickBot="1">
      <c r="A16" s="64" t="s">
        <v>31</v>
      </c>
      <c r="B16" s="53"/>
      <c r="C16" s="54"/>
      <c r="D16" s="95" t="s">
        <v>666</v>
      </c>
      <c r="E16" s="107" t="s">
        <v>667</v>
      </c>
      <c r="F16" s="55"/>
      <c r="G16" s="55"/>
      <c r="H16" s="55"/>
      <c r="I16" s="108"/>
      <c r="J16" s="108"/>
      <c r="K16" s="108"/>
      <c r="L16" s="108"/>
      <c r="M16" s="108"/>
      <c r="N16" s="108"/>
      <c r="O16" s="108">
        <v>46000</v>
      </c>
      <c r="P16" s="64" t="s">
        <v>193</v>
      </c>
      <c r="Q16" s="53"/>
      <c r="R16" s="54"/>
      <c r="S16" s="95" t="s">
        <v>666</v>
      </c>
      <c r="T16" s="107" t="s">
        <v>667</v>
      </c>
      <c r="U16" s="55"/>
      <c r="V16" s="55"/>
      <c r="W16" s="216"/>
      <c r="X16" s="206"/>
      <c r="Y16" s="206"/>
      <c r="Z16" s="206"/>
      <c r="AA16" s="206"/>
      <c r="AB16" s="206"/>
      <c r="AC16" s="206"/>
      <c r="AD16" s="206"/>
      <c r="AE16" s="64" t="s">
        <v>293</v>
      </c>
      <c r="AF16" s="53"/>
      <c r="AG16" s="54"/>
      <c r="AH16" s="95" t="s">
        <v>666</v>
      </c>
      <c r="AI16" s="107" t="s">
        <v>667</v>
      </c>
      <c r="AJ16" s="55"/>
      <c r="AK16" s="55"/>
      <c r="AL16" s="216"/>
      <c r="AM16" s="206"/>
      <c r="AN16" s="206"/>
      <c r="AO16" s="206"/>
      <c r="AP16" s="206"/>
      <c r="AQ16" s="206"/>
      <c r="AR16" s="206"/>
      <c r="AS16" s="206"/>
      <c r="AT16" s="64" t="s">
        <v>368</v>
      </c>
      <c r="AU16" s="53"/>
      <c r="AV16" s="54"/>
      <c r="AW16" s="95" t="s">
        <v>666</v>
      </c>
      <c r="AX16" s="107" t="s">
        <v>667</v>
      </c>
      <c r="AY16" s="55"/>
      <c r="AZ16" s="55"/>
      <c r="BA16" s="216"/>
      <c r="BB16" s="206"/>
      <c r="BC16" s="206"/>
      <c r="BD16" s="206"/>
      <c r="BE16" s="206"/>
      <c r="BF16" s="206"/>
      <c r="BG16" s="206"/>
      <c r="BH16" s="206"/>
      <c r="BI16" s="64" t="s">
        <v>442</v>
      </c>
      <c r="BJ16" s="53"/>
      <c r="BK16" s="54"/>
      <c r="BL16" s="95" t="s">
        <v>666</v>
      </c>
      <c r="BM16" s="107" t="s">
        <v>667</v>
      </c>
      <c r="BN16" s="55"/>
      <c r="BO16" s="55"/>
      <c r="BP16" s="216"/>
      <c r="BQ16" s="206"/>
      <c r="BR16" s="206"/>
      <c r="BS16" s="206"/>
      <c r="BT16" s="206"/>
      <c r="BU16" s="206"/>
      <c r="BV16" s="206"/>
      <c r="BW16" s="206"/>
      <c r="BX16" s="64" t="s">
        <v>515</v>
      </c>
      <c r="BY16" s="53"/>
      <c r="BZ16" s="54"/>
      <c r="CA16" s="95" t="s">
        <v>666</v>
      </c>
      <c r="CB16" s="107" t="s">
        <v>667</v>
      </c>
      <c r="CC16" s="55"/>
      <c r="CD16" s="55"/>
      <c r="CE16" s="216"/>
      <c r="CF16" s="206"/>
      <c r="CG16" s="206"/>
      <c r="CH16" s="206"/>
      <c r="CI16" s="206"/>
      <c r="CJ16" s="206"/>
      <c r="CK16" s="206"/>
      <c r="CL16" s="206"/>
      <c r="CM16" s="64" t="s">
        <v>779</v>
      </c>
      <c r="CN16" s="53"/>
      <c r="CO16" s="54"/>
      <c r="CP16" s="95" t="s">
        <v>666</v>
      </c>
      <c r="CQ16" s="107" t="s">
        <v>667</v>
      </c>
      <c r="CR16" s="55"/>
      <c r="CS16" s="55"/>
      <c r="CT16" s="216"/>
      <c r="CU16" s="206"/>
      <c r="CV16" s="206"/>
      <c r="CW16" s="206"/>
      <c r="CX16" s="206"/>
      <c r="CY16" s="206"/>
      <c r="CZ16" s="206"/>
      <c r="DA16" s="206"/>
      <c r="DB16" s="206"/>
      <c r="DC16" s="181">
        <f t="shared" si="7"/>
        <v>46000</v>
      </c>
    </row>
    <row r="17" spans="1:107" s="56" customFormat="1" ht="15" customHeight="1" thickBot="1">
      <c r="A17" s="64" t="s">
        <v>32</v>
      </c>
      <c r="B17" s="53"/>
      <c r="C17" s="54"/>
      <c r="D17" s="95" t="s">
        <v>668</v>
      </c>
      <c r="E17" s="107" t="s">
        <v>669</v>
      </c>
      <c r="F17" s="55"/>
      <c r="G17" s="55"/>
      <c r="H17" s="55"/>
      <c r="I17" s="108"/>
      <c r="J17" s="108"/>
      <c r="K17" s="108"/>
      <c r="L17" s="108"/>
      <c r="M17" s="108"/>
      <c r="N17" s="108"/>
      <c r="O17" s="108">
        <v>6500</v>
      </c>
      <c r="P17" s="64" t="s">
        <v>194</v>
      </c>
      <c r="Q17" s="53"/>
      <c r="R17" s="54"/>
      <c r="S17" s="95" t="s">
        <v>668</v>
      </c>
      <c r="T17" s="107" t="s">
        <v>669</v>
      </c>
      <c r="U17" s="55"/>
      <c r="V17" s="55"/>
      <c r="W17" s="216"/>
      <c r="X17" s="206"/>
      <c r="Y17" s="206"/>
      <c r="Z17" s="206"/>
      <c r="AA17" s="206"/>
      <c r="AB17" s="206"/>
      <c r="AC17" s="206"/>
      <c r="AD17" s="206"/>
      <c r="AE17" s="64" t="s">
        <v>294</v>
      </c>
      <c r="AF17" s="53"/>
      <c r="AG17" s="54"/>
      <c r="AH17" s="95" t="s">
        <v>668</v>
      </c>
      <c r="AI17" s="107" t="s">
        <v>669</v>
      </c>
      <c r="AJ17" s="55"/>
      <c r="AK17" s="55"/>
      <c r="AL17" s="216"/>
      <c r="AM17" s="206"/>
      <c r="AN17" s="206"/>
      <c r="AO17" s="206"/>
      <c r="AP17" s="206"/>
      <c r="AQ17" s="206"/>
      <c r="AR17" s="206"/>
      <c r="AS17" s="206"/>
      <c r="AT17" s="64" t="s">
        <v>369</v>
      </c>
      <c r="AU17" s="53"/>
      <c r="AV17" s="54"/>
      <c r="AW17" s="95" t="s">
        <v>668</v>
      </c>
      <c r="AX17" s="107" t="s">
        <v>669</v>
      </c>
      <c r="AY17" s="55"/>
      <c r="AZ17" s="55"/>
      <c r="BA17" s="216"/>
      <c r="BB17" s="206"/>
      <c r="BC17" s="206"/>
      <c r="BD17" s="206"/>
      <c r="BE17" s="206"/>
      <c r="BF17" s="206"/>
      <c r="BG17" s="206"/>
      <c r="BH17" s="206"/>
      <c r="BI17" s="64" t="s">
        <v>443</v>
      </c>
      <c r="BJ17" s="53"/>
      <c r="BK17" s="54"/>
      <c r="BL17" s="95" t="s">
        <v>668</v>
      </c>
      <c r="BM17" s="107" t="s">
        <v>669</v>
      </c>
      <c r="BN17" s="55"/>
      <c r="BO17" s="55"/>
      <c r="BP17" s="216"/>
      <c r="BQ17" s="206"/>
      <c r="BR17" s="206"/>
      <c r="BS17" s="206"/>
      <c r="BT17" s="206"/>
      <c r="BU17" s="206"/>
      <c r="BV17" s="206"/>
      <c r="BW17" s="206"/>
      <c r="BX17" s="64" t="s">
        <v>516</v>
      </c>
      <c r="BY17" s="53"/>
      <c r="BZ17" s="54"/>
      <c r="CA17" s="95" t="s">
        <v>668</v>
      </c>
      <c r="CB17" s="107" t="s">
        <v>669</v>
      </c>
      <c r="CC17" s="55"/>
      <c r="CD17" s="55"/>
      <c r="CE17" s="216"/>
      <c r="CF17" s="206"/>
      <c r="CG17" s="206"/>
      <c r="CH17" s="206"/>
      <c r="CI17" s="206"/>
      <c r="CJ17" s="206"/>
      <c r="CK17" s="206"/>
      <c r="CL17" s="206"/>
      <c r="CM17" s="64" t="s">
        <v>780</v>
      </c>
      <c r="CN17" s="53"/>
      <c r="CO17" s="54"/>
      <c r="CP17" s="95" t="s">
        <v>668</v>
      </c>
      <c r="CQ17" s="107" t="s">
        <v>669</v>
      </c>
      <c r="CR17" s="55"/>
      <c r="CS17" s="55"/>
      <c r="CT17" s="216"/>
      <c r="CU17" s="206"/>
      <c r="CV17" s="206"/>
      <c r="CW17" s="206"/>
      <c r="CX17" s="206"/>
      <c r="CY17" s="206"/>
      <c r="CZ17" s="206"/>
      <c r="DA17" s="206"/>
      <c r="DB17" s="206"/>
      <c r="DC17" s="181">
        <f t="shared" si="7"/>
        <v>6500</v>
      </c>
    </row>
    <row r="18" spans="1:107" s="56" customFormat="1" ht="15" customHeight="1" thickBot="1">
      <c r="A18" s="64" t="s">
        <v>33</v>
      </c>
      <c r="B18" s="53"/>
      <c r="C18" s="54"/>
      <c r="D18" s="111" t="s">
        <v>670</v>
      </c>
      <c r="E18" s="107" t="s">
        <v>563</v>
      </c>
      <c r="F18" s="55"/>
      <c r="G18" s="55"/>
      <c r="H18" s="55"/>
      <c r="I18" s="108">
        <v>600</v>
      </c>
      <c r="J18" s="108"/>
      <c r="K18" s="108"/>
      <c r="L18" s="108"/>
      <c r="M18" s="108"/>
      <c r="N18" s="108"/>
      <c r="O18" s="108">
        <f>3300+Javaslat!L53</f>
        <v>4020</v>
      </c>
      <c r="P18" s="64" t="s">
        <v>195</v>
      </c>
      <c r="Q18" s="53"/>
      <c r="R18" s="54"/>
      <c r="S18" s="111" t="s">
        <v>670</v>
      </c>
      <c r="T18" s="107" t="s">
        <v>563</v>
      </c>
      <c r="U18" s="55"/>
      <c r="V18" s="55"/>
      <c r="W18" s="216"/>
      <c r="X18" s="206"/>
      <c r="Y18" s="206"/>
      <c r="Z18" s="206"/>
      <c r="AA18" s="206"/>
      <c r="AB18" s="206"/>
      <c r="AC18" s="206"/>
      <c r="AD18" s="206"/>
      <c r="AE18" s="64" t="s">
        <v>295</v>
      </c>
      <c r="AF18" s="53"/>
      <c r="AG18" s="54"/>
      <c r="AH18" s="111" t="s">
        <v>670</v>
      </c>
      <c r="AI18" s="107" t="s">
        <v>563</v>
      </c>
      <c r="AJ18" s="55"/>
      <c r="AK18" s="55"/>
      <c r="AL18" s="216"/>
      <c r="AM18" s="206"/>
      <c r="AN18" s="206"/>
      <c r="AO18" s="206"/>
      <c r="AP18" s="206"/>
      <c r="AQ18" s="206"/>
      <c r="AR18" s="206"/>
      <c r="AS18" s="206"/>
      <c r="AT18" s="64" t="s">
        <v>370</v>
      </c>
      <c r="AU18" s="53"/>
      <c r="AV18" s="54"/>
      <c r="AW18" s="111" t="s">
        <v>670</v>
      </c>
      <c r="AX18" s="107" t="s">
        <v>563</v>
      </c>
      <c r="AY18" s="55"/>
      <c r="AZ18" s="55"/>
      <c r="BA18" s="216"/>
      <c r="BB18" s="206"/>
      <c r="BC18" s="206"/>
      <c r="BD18" s="206"/>
      <c r="BE18" s="206"/>
      <c r="BF18" s="206"/>
      <c r="BG18" s="206"/>
      <c r="BH18" s="206"/>
      <c r="BI18" s="64" t="s">
        <v>444</v>
      </c>
      <c r="BJ18" s="53"/>
      <c r="BK18" s="54"/>
      <c r="BL18" s="111" t="s">
        <v>670</v>
      </c>
      <c r="BM18" s="107" t="s">
        <v>563</v>
      </c>
      <c r="BN18" s="55"/>
      <c r="BO18" s="55"/>
      <c r="BP18" s="216"/>
      <c r="BQ18" s="206"/>
      <c r="BR18" s="206"/>
      <c r="BS18" s="206"/>
      <c r="BT18" s="206"/>
      <c r="BU18" s="206"/>
      <c r="BV18" s="206"/>
      <c r="BW18" s="206"/>
      <c r="BX18" s="64" t="s">
        <v>517</v>
      </c>
      <c r="BY18" s="53"/>
      <c r="BZ18" s="54"/>
      <c r="CA18" s="111" t="s">
        <v>670</v>
      </c>
      <c r="CB18" s="107" t="s">
        <v>563</v>
      </c>
      <c r="CC18" s="55"/>
      <c r="CD18" s="55"/>
      <c r="CE18" s="216"/>
      <c r="CF18" s="206"/>
      <c r="CG18" s="206"/>
      <c r="CH18" s="206"/>
      <c r="CI18" s="206"/>
      <c r="CJ18" s="206"/>
      <c r="CK18" s="206"/>
      <c r="CL18" s="206"/>
      <c r="CM18" s="64" t="s">
        <v>781</v>
      </c>
      <c r="CN18" s="53"/>
      <c r="CO18" s="54"/>
      <c r="CP18" s="111" t="s">
        <v>670</v>
      </c>
      <c r="CQ18" s="107" t="s">
        <v>563</v>
      </c>
      <c r="CR18" s="55"/>
      <c r="CS18" s="55"/>
      <c r="CT18" s="216"/>
      <c r="CU18" s="206"/>
      <c r="CV18" s="206"/>
      <c r="CW18" s="206"/>
      <c r="CX18" s="206"/>
      <c r="CY18" s="206"/>
      <c r="CZ18" s="206"/>
      <c r="DA18" s="206"/>
      <c r="DB18" s="206"/>
      <c r="DC18" s="181">
        <f t="shared" si="7"/>
        <v>4620</v>
      </c>
    </row>
    <row r="19" spans="1:107" s="134" customFormat="1" ht="15" customHeight="1" thickBot="1">
      <c r="A19" s="64" t="s">
        <v>34</v>
      </c>
      <c r="B19" s="135"/>
      <c r="C19" s="136" t="s">
        <v>104</v>
      </c>
      <c r="D19" s="137" t="s">
        <v>100</v>
      </c>
      <c r="E19" s="138"/>
      <c r="F19" s="138"/>
      <c r="G19" s="138"/>
      <c r="H19" s="138"/>
      <c r="I19" s="139">
        <f>SUM(I20:I28)</f>
        <v>14512</v>
      </c>
      <c r="J19" s="139">
        <f aca="true" t="shared" si="22" ref="J19:O19">SUM(J20:J28)</f>
        <v>0</v>
      </c>
      <c r="K19" s="139">
        <f t="shared" si="22"/>
        <v>76354</v>
      </c>
      <c r="L19" s="139">
        <f t="shared" si="22"/>
        <v>0</v>
      </c>
      <c r="M19" s="139">
        <f t="shared" si="22"/>
        <v>0</v>
      </c>
      <c r="N19" s="139">
        <f t="shared" si="22"/>
        <v>16000</v>
      </c>
      <c r="O19" s="139">
        <f t="shared" si="22"/>
        <v>0</v>
      </c>
      <c r="P19" s="64" t="s">
        <v>196</v>
      </c>
      <c r="Q19" s="135"/>
      <c r="R19" s="136" t="s">
        <v>104</v>
      </c>
      <c r="S19" s="137" t="s">
        <v>100</v>
      </c>
      <c r="T19" s="138"/>
      <c r="U19" s="138"/>
      <c r="V19" s="138"/>
      <c r="W19" s="215"/>
      <c r="X19" s="207">
        <f aca="true" t="shared" si="23" ref="X19:AD19">SUM(X20:X28)</f>
        <v>0</v>
      </c>
      <c r="Y19" s="207">
        <f t="shared" si="23"/>
        <v>0</v>
      </c>
      <c r="Z19" s="207">
        <f t="shared" si="23"/>
        <v>0</v>
      </c>
      <c r="AA19" s="207">
        <f t="shared" si="23"/>
        <v>0</v>
      </c>
      <c r="AB19" s="207">
        <f t="shared" si="23"/>
        <v>0</v>
      </c>
      <c r="AC19" s="207">
        <f t="shared" si="23"/>
        <v>0</v>
      </c>
      <c r="AD19" s="207">
        <f t="shared" si="23"/>
        <v>0</v>
      </c>
      <c r="AE19" s="64" t="s">
        <v>296</v>
      </c>
      <c r="AF19" s="135"/>
      <c r="AG19" s="136" t="s">
        <v>104</v>
      </c>
      <c r="AH19" s="137" t="s">
        <v>100</v>
      </c>
      <c r="AI19" s="138"/>
      <c r="AJ19" s="138"/>
      <c r="AK19" s="138"/>
      <c r="AL19" s="215"/>
      <c r="AM19" s="207">
        <f aca="true" t="shared" si="24" ref="AM19:AS19">SUM(AM20:AM28)</f>
        <v>500</v>
      </c>
      <c r="AN19" s="207">
        <f t="shared" si="24"/>
        <v>0</v>
      </c>
      <c r="AO19" s="207">
        <f t="shared" si="24"/>
        <v>11675</v>
      </c>
      <c r="AP19" s="207">
        <f t="shared" si="24"/>
        <v>5000</v>
      </c>
      <c r="AQ19" s="207">
        <f t="shared" si="24"/>
        <v>0</v>
      </c>
      <c r="AR19" s="207">
        <f t="shared" si="24"/>
        <v>9081</v>
      </c>
      <c r="AS19" s="207">
        <f t="shared" si="24"/>
        <v>0</v>
      </c>
      <c r="AT19" s="64" t="s">
        <v>371</v>
      </c>
      <c r="AU19" s="135"/>
      <c r="AV19" s="136" t="s">
        <v>104</v>
      </c>
      <c r="AW19" s="137" t="s">
        <v>100</v>
      </c>
      <c r="AX19" s="138"/>
      <c r="AY19" s="138"/>
      <c r="AZ19" s="138"/>
      <c r="BA19" s="215"/>
      <c r="BB19" s="207">
        <f aca="true" t="shared" si="25" ref="BB19:BH19">SUM(BB20:BB28)</f>
        <v>0</v>
      </c>
      <c r="BC19" s="207">
        <f t="shared" si="25"/>
        <v>0</v>
      </c>
      <c r="BD19" s="207">
        <f t="shared" si="25"/>
        <v>24500</v>
      </c>
      <c r="BE19" s="207">
        <f t="shared" si="25"/>
        <v>0</v>
      </c>
      <c r="BF19" s="207">
        <f t="shared" si="25"/>
        <v>0</v>
      </c>
      <c r="BG19" s="207">
        <f t="shared" si="25"/>
        <v>0</v>
      </c>
      <c r="BH19" s="207">
        <f t="shared" si="25"/>
        <v>0</v>
      </c>
      <c r="BI19" s="64" t="s">
        <v>445</v>
      </c>
      <c r="BJ19" s="135"/>
      <c r="BK19" s="136" t="s">
        <v>104</v>
      </c>
      <c r="BL19" s="137" t="s">
        <v>100</v>
      </c>
      <c r="BM19" s="138"/>
      <c r="BN19" s="138"/>
      <c r="BO19" s="138"/>
      <c r="BP19" s="215"/>
      <c r="BQ19" s="207">
        <f aca="true" t="shared" si="26" ref="BQ19:BW19">SUM(BQ20:BQ28)</f>
        <v>0</v>
      </c>
      <c r="BR19" s="207">
        <f t="shared" si="26"/>
        <v>0</v>
      </c>
      <c r="BS19" s="207">
        <f t="shared" si="26"/>
        <v>0</v>
      </c>
      <c r="BT19" s="207">
        <f t="shared" si="26"/>
        <v>240</v>
      </c>
      <c r="BU19" s="207">
        <f t="shared" si="26"/>
        <v>0</v>
      </c>
      <c r="BV19" s="207">
        <f t="shared" si="26"/>
        <v>0</v>
      </c>
      <c r="BW19" s="207">
        <f t="shared" si="26"/>
        <v>396</v>
      </c>
      <c r="BX19" s="64" t="s">
        <v>518</v>
      </c>
      <c r="BY19" s="135"/>
      <c r="BZ19" s="136" t="s">
        <v>104</v>
      </c>
      <c r="CA19" s="137" t="s">
        <v>100</v>
      </c>
      <c r="CB19" s="138"/>
      <c r="CC19" s="138"/>
      <c r="CD19" s="138"/>
      <c r="CE19" s="215"/>
      <c r="CF19" s="207">
        <f aca="true" t="shared" si="27" ref="CF19:CL19">SUM(CF20:CF28)</f>
        <v>0</v>
      </c>
      <c r="CG19" s="207">
        <f t="shared" si="27"/>
        <v>0</v>
      </c>
      <c r="CH19" s="207">
        <f t="shared" si="27"/>
        <v>0</v>
      </c>
      <c r="CI19" s="207">
        <f t="shared" si="27"/>
        <v>0</v>
      </c>
      <c r="CJ19" s="207">
        <f t="shared" si="27"/>
        <v>0</v>
      </c>
      <c r="CK19" s="207">
        <f t="shared" si="27"/>
        <v>0</v>
      </c>
      <c r="CL19" s="207">
        <f t="shared" si="27"/>
        <v>0</v>
      </c>
      <c r="CM19" s="64" t="s">
        <v>782</v>
      </c>
      <c r="CN19" s="135"/>
      <c r="CO19" s="136" t="s">
        <v>104</v>
      </c>
      <c r="CP19" s="137" t="s">
        <v>100</v>
      </c>
      <c r="CQ19" s="138"/>
      <c r="CR19" s="138"/>
      <c r="CS19" s="138"/>
      <c r="CT19" s="215"/>
      <c r="CU19" s="207">
        <f aca="true" t="shared" si="28" ref="CU19:DB19">SUM(CU20:CU28)</f>
        <v>0</v>
      </c>
      <c r="CV19" s="207">
        <f t="shared" si="28"/>
        <v>0</v>
      </c>
      <c r="CW19" s="207">
        <f t="shared" si="28"/>
        <v>0</v>
      </c>
      <c r="CX19" s="207">
        <f t="shared" si="28"/>
        <v>499</v>
      </c>
      <c r="CY19" s="207">
        <f t="shared" si="28"/>
        <v>0</v>
      </c>
      <c r="CZ19" s="207">
        <f t="shared" si="28"/>
        <v>300</v>
      </c>
      <c r="DA19" s="207">
        <f>SUM(DA20:DA28)</f>
        <v>0</v>
      </c>
      <c r="DB19" s="207">
        <f t="shared" si="28"/>
        <v>0</v>
      </c>
      <c r="DC19" s="183">
        <f t="shared" si="7"/>
        <v>159057</v>
      </c>
    </row>
    <row r="20" spans="1:107" s="110" customFormat="1" ht="15" customHeight="1" thickBot="1">
      <c r="A20" s="64" t="s">
        <v>35</v>
      </c>
      <c r="B20" s="109"/>
      <c r="C20" s="112"/>
      <c r="D20" s="113" t="s">
        <v>671</v>
      </c>
      <c r="E20" s="107" t="s">
        <v>680</v>
      </c>
      <c r="F20" s="107"/>
      <c r="G20" s="107"/>
      <c r="H20" s="97"/>
      <c r="I20" s="108"/>
      <c r="J20" s="108"/>
      <c r="K20" s="108"/>
      <c r="L20" s="108"/>
      <c r="M20" s="108"/>
      <c r="N20" s="108"/>
      <c r="O20" s="108"/>
      <c r="P20" s="64" t="s">
        <v>197</v>
      </c>
      <c r="Q20" s="109"/>
      <c r="R20" s="112"/>
      <c r="S20" s="113" t="s">
        <v>671</v>
      </c>
      <c r="T20" s="107" t="s">
        <v>680</v>
      </c>
      <c r="U20" s="107"/>
      <c r="V20" s="107"/>
      <c r="W20" s="117"/>
      <c r="X20" s="206"/>
      <c r="Y20" s="206"/>
      <c r="Z20" s="206"/>
      <c r="AA20" s="206"/>
      <c r="AB20" s="206"/>
      <c r="AC20" s="206"/>
      <c r="AD20" s="206"/>
      <c r="AE20" s="64" t="s">
        <v>297</v>
      </c>
      <c r="AF20" s="109"/>
      <c r="AG20" s="112"/>
      <c r="AH20" s="113" t="s">
        <v>671</v>
      </c>
      <c r="AI20" s="107" t="s">
        <v>680</v>
      </c>
      <c r="AJ20" s="107"/>
      <c r="AK20" s="107"/>
      <c r="AL20" s="117"/>
      <c r="AM20" s="206">
        <f>Javaslat!L103</f>
        <v>394</v>
      </c>
      <c r="AN20" s="206"/>
      <c r="AO20" s="206"/>
      <c r="AP20" s="206"/>
      <c r="AQ20" s="206"/>
      <c r="AR20" s="206"/>
      <c r="AS20" s="206"/>
      <c r="AT20" s="64" t="s">
        <v>372</v>
      </c>
      <c r="AU20" s="109"/>
      <c r="AV20" s="112"/>
      <c r="AW20" s="113" t="s">
        <v>671</v>
      </c>
      <c r="AX20" s="107" t="s">
        <v>680</v>
      </c>
      <c r="AY20" s="107"/>
      <c r="AZ20" s="107"/>
      <c r="BA20" s="117"/>
      <c r="BB20" s="206"/>
      <c r="BC20" s="206"/>
      <c r="BD20" s="206"/>
      <c r="BE20" s="206"/>
      <c r="BF20" s="206"/>
      <c r="BG20" s="206"/>
      <c r="BH20" s="206"/>
      <c r="BI20" s="64" t="s">
        <v>446</v>
      </c>
      <c r="BJ20" s="109"/>
      <c r="BK20" s="112"/>
      <c r="BL20" s="113" t="s">
        <v>671</v>
      </c>
      <c r="BM20" s="107" t="s">
        <v>680</v>
      </c>
      <c r="BN20" s="107"/>
      <c r="BO20" s="107"/>
      <c r="BP20" s="117"/>
      <c r="BQ20" s="206"/>
      <c r="BR20" s="206"/>
      <c r="BS20" s="206"/>
      <c r="BT20" s="206"/>
      <c r="BU20" s="206"/>
      <c r="BV20" s="206"/>
      <c r="BW20" s="206"/>
      <c r="BX20" s="64" t="s">
        <v>519</v>
      </c>
      <c r="BY20" s="109"/>
      <c r="BZ20" s="112"/>
      <c r="CA20" s="113" t="s">
        <v>671</v>
      </c>
      <c r="CB20" s="107" t="s">
        <v>680</v>
      </c>
      <c r="CC20" s="107"/>
      <c r="CD20" s="107"/>
      <c r="CE20" s="117"/>
      <c r="CF20" s="206"/>
      <c r="CG20" s="206"/>
      <c r="CH20" s="206"/>
      <c r="CI20" s="206"/>
      <c r="CJ20" s="206"/>
      <c r="CK20" s="206"/>
      <c r="CL20" s="206"/>
      <c r="CM20" s="64" t="s">
        <v>783</v>
      </c>
      <c r="CN20" s="109"/>
      <c r="CO20" s="112"/>
      <c r="CP20" s="113" t="s">
        <v>671</v>
      </c>
      <c r="CQ20" s="107" t="s">
        <v>680</v>
      </c>
      <c r="CR20" s="107"/>
      <c r="CS20" s="107"/>
      <c r="CT20" s="117"/>
      <c r="CU20" s="206"/>
      <c r="CV20" s="206"/>
      <c r="CW20" s="206"/>
      <c r="CX20" s="206"/>
      <c r="CY20" s="206"/>
      <c r="CZ20" s="206"/>
      <c r="DA20" s="206"/>
      <c r="DB20" s="206"/>
      <c r="DC20" s="181">
        <f t="shared" si="7"/>
        <v>394</v>
      </c>
    </row>
    <row r="21" spans="1:107" s="110" customFormat="1" ht="15" customHeight="1" thickBot="1">
      <c r="A21" s="64" t="s">
        <v>36</v>
      </c>
      <c r="B21" s="109"/>
      <c r="C21" s="112"/>
      <c r="D21" s="113" t="s">
        <v>672</v>
      </c>
      <c r="E21" s="107" t="s">
        <v>681</v>
      </c>
      <c r="F21" s="107"/>
      <c r="G21" s="107"/>
      <c r="H21" s="97"/>
      <c r="I21" s="108"/>
      <c r="J21" s="108"/>
      <c r="K21" s="108"/>
      <c r="L21" s="108"/>
      <c r="M21" s="108"/>
      <c r="N21" s="108">
        <v>12598</v>
      </c>
      <c r="O21" s="108"/>
      <c r="P21" s="64" t="s">
        <v>198</v>
      </c>
      <c r="Q21" s="109"/>
      <c r="R21" s="112"/>
      <c r="S21" s="113" t="s">
        <v>672</v>
      </c>
      <c r="T21" s="107" t="s">
        <v>681</v>
      </c>
      <c r="U21" s="107"/>
      <c r="V21" s="107"/>
      <c r="W21" s="117"/>
      <c r="X21" s="206"/>
      <c r="Y21" s="206"/>
      <c r="Z21" s="206"/>
      <c r="AA21" s="206"/>
      <c r="AB21" s="206"/>
      <c r="AC21" s="206"/>
      <c r="AD21" s="206"/>
      <c r="AE21" s="64" t="s">
        <v>298</v>
      </c>
      <c r="AF21" s="109"/>
      <c r="AG21" s="112"/>
      <c r="AH21" s="113" t="s">
        <v>672</v>
      </c>
      <c r="AI21" s="107" t="s">
        <v>681</v>
      </c>
      <c r="AJ21" s="107"/>
      <c r="AK21" s="107"/>
      <c r="AL21" s="117"/>
      <c r="AM21" s="206"/>
      <c r="AN21" s="206"/>
      <c r="AO21" s="206"/>
      <c r="AP21" s="206">
        <v>3937</v>
      </c>
      <c r="AQ21" s="206"/>
      <c r="AR21" s="206">
        <v>7150</v>
      </c>
      <c r="AS21" s="206"/>
      <c r="AT21" s="64" t="s">
        <v>373</v>
      </c>
      <c r="AU21" s="109"/>
      <c r="AV21" s="112"/>
      <c r="AW21" s="113" t="s">
        <v>672</v>
      </c>
      <c r="AX21" s="107" t="s">
        <v>681</v>
      </c>
      <c r="AY21" s="107"/>
      <c r="AZ21" s="107"/>
      <c r="BA21" s="117"/>
      <c r="BB21" s="206"/>
      <c r="BC21" s="206"/>
      <c r="BD21" s="206"/>
      <c r="BE21" s="206"/>
      <c r="BF21" s="206"/>
      <c r="BG21" s="206"/>
      <c r="BH21" s="206"/>
      <c r="BI21" s="64" t="s">
        <v>447</v>
      </c>
      <c r="BJ21" s="109"/>
      <c r="BK21" s="112"/>
      <c r="BL21" s="113" t="s">
        <v>672</v>
      </c>
      <c r="BM21" s="107" t="s">
        <v>681</v>
      </c>
      <c r="BN21" s="107"/>
      <c r="BO21" s="107"/>
      <c r="BP21" s="117"/>
      <c r="BQ21" s="206"/>
      <c r="BR21" s="206"/>
      <c r="BS21" s="206"/>
      <c r="BT21" s="206">
        <v>189</v>
      </c>
      <c r="BU21" s="206"/>
      <c r="BV21" s="206"/>
      <c r="BW21" s="206">
        <v>312</v>
      </c>
      <c r="BX21" s="64" t="s">
        <v>520</v>
      </c>
      <c r="BY21" s="109"/>
      <c r="BZ21" s="112"/>
      <c r="CA21" s="113" t="s">
        <v>672</v>
      </c>
      <c r="CB21" s="107" t="s">
        <v>681</v>
      </c>
      <c r="CC21" s="107"/>
      <c r="CD21" s="107"/>
      <c r="CE21" s="117"/>
      <c r="CF21" s="206"/>
      <c r="CG21" s="206"/>
      <c r="CH21" s="206"/>
      <c r="CI21" s="206"/>
      <c r="CJ21" s="206"/>
      <c r="CK21" s="206"/>
      <c r="CL21" s="206"/>
      <c r="CM21" s="64" t="s">
        <v>784</v>
      </c>
      <c r="CN21" s="109"/>
      <c r="CO21" s="112"/>
      <c r="CP21" s="113" t="s">
        <v>672</v>
      </c>
      <c r="CQ21" s="107" t="s">
        <v>681</v>
      </c>
      <c r="CR21" s="107"/>
      <c r="CS21" s="107"/>
      <c r="CT21" s="117"/>
      <c r="CU21" s="206"/>
      <c r="CV21" s="206"/>
      <c r="CW21" s="206"/>
      <c r="CX21" s="206"/>
      <c r="CY21" s="206"/>
      <c r="CZ21" s="206">
        <f>Javaslat!L119+100</f>
        <v>0</v>
      </c>
      <c r="DA21" s="206"/>
      <c r="DB21" s="206"/>
      <c r="DC21" s="181">
        <f t="shared" si="7"/>
        <v>24186</v>
      </c>
    </row>
    <row r="22" spans="1:107" s="110" customFormat="1" ht="15" customHeight="1" thickBot="1">
      <c r="A22" s="64" t="s">
        <v>37</v>
      </c>
      <c r="B22" s="109"/>
      <c r="C22" s="112"/>
      <c r="D22" s="113" t="s">
        <v>673</v>
      </c>
      <c r="E22" s="97" t="s">
        <v>682</v>
      </c>
      <c r="F22" s="97"/>
      <c r="G22" s="97"/>
      <c r="H22" s="97"/>
      <c r="I22" s="108">
        <f>1151+Javaslat!L65</f>
        <v>1938</v>
      </c>
      <c r="J22" s="108"/>
      <c r="K22" s="108"/>
      <c r="L22" s="108"/>
      <c r="M22" s="108"/>
      <c r="N22" s="108"/>
      <c r="O22" s="108"/>
      <c r="P22" s="64" t="s">
        <v>199</v>
      </c>
      <c r="Q22" s="109"/>
      <c r="R22" s="112"/>
      <c r="S22" s="113" t="s">
        <v>673</v>
      </c>
      <c r="T22" s="97" t="s">
        <v>682</v>
      </c>
      <c r="U22" s="97"/>
      <c r="V22" s="97"/>
      <c r="W22" s="117"/>
      <c r="X22" s="206"/>
      <c r="Y22" s="206"/>
      <c r="Z22" s="206"/>
      <c r="AA22" s="206"/>
      <c r="AB22" s="206"/>
      <c r="AC22" s="206"/>
      <c r="AD22" s="206"/>
      <c r="AE22" s="64" t="s">
        <v>299</v>
      </c>
      <c r="AF22" s="109"/>
      <c r="AG22" s="112"/>
      <c r="AH22" s="113" t="s">
        <v>673</v>
      </c>
      <c r="AI22" s="97" t="s">
        <v>682</v>
      </c>
      <c r="AJ22" s="97"/>
      <c r="AK22" s="97"/>
      <c r="AL22" s="117"/>
      <c r="AM22" s="206"/>
      <c r="AN22" s="206"/>
      <c r="AO22" s="206"/>
      <c r="AP22" s="206"/>
      <c r="AQ22" s="206"/>
      <c r="AR22" s="206"/>
      <c r="AS22" s="206"/>
      <c r="AT22" s="64" t="s">
        <v>374</v>
      </c>
      <c r="AU22" s="109"/>
      <c r="AV22" s="112"/>
      <c r="AW22" s="113" t="s">
        <v>673</v>
      </c>
      <c r="AX22" s="97" t="s">
        <v>682</v>
      </c>
      <c r="AY22" s="97"/>
      <c r="AZ22" s="97"/>
      <c r="BA22" s="117"/>
      <c r="BB22" s="206"/>
      <c r="BC22" s="206"/>
      <c r="BD22" s="206"/>
      <c r="BE22" s="206"/>
      <c r="BF22" s="206"/>
      <c r="BG22" s="206"/>
      <c r="BH22" s="206"/>
      <c r="BI22" s="64" t="s">
        <v>448</v>
      </c>
      <c r="BJ22" s="109"/>
      <c r="BK22" s="112"/>
      <c r="BL22" s="113" t="s">
        <v>673</v>
      </c>
      <c r="BM22" s="97" t="s">
        <v>682</v>
      </c>
      <c r="BN22" s="97"/>
      <c r="BO22" s="97"/>
      <c r="BP22" s="117"/>
      <c r="BQ22" s="206"/>
      <c r="BR22" s="206"/>
      <c r="BS22" s="206"/>
      <c r="BT22" s="206"/>
      <c r="BU22" s="206"/>
      <c r="BV22" s="206"/>
      <c r="BW22" s="206"/>
      <c r="BX22" s="64" t="s">
        <v>521</v>
      </c>
      <c r="BY22" s="109"/>
      <c r="BZ22" s="112"/>
      <c r="CA22" s="113" t="s">
        <v>673</v>
      </c>
      <c r="CB22" s="97" t="s">
        <v>682</v>
      </c>
      <c r="CC22" s="97"/>
      <c r="CD22" s="97"/>
      <c r="CE22" s="117"/>
      <c r="CF22" s="206"/>
      <c r="CG22" s="206"/>
      <c r="CH22" s="206"/>
      <c r="CI22" s="206"/>
      <c r="CJ22" s="206"/>
      <c r="CK22" s="206"/>
      <c r="CL22" s="206"/>
      <c r="CM22" s="64" t="s">
        <v>785</v>
      </c>
      <c r="CN22" s="109"/>
      <c r="CO22" s="112"/>
      <c r="CP22" s="113" t="s">
        <v>673</v>
      </c>
      <c r="CQ22" s="97" t="s">
        <v>682</v>
      </c>
      <c r="CR22" s="97"/>
      <c r="CS22" s="97"/>
      <c r="CT22" s="117"/>
      <c r="CU22" s="206"/>
      <c r="CV22" s="206"/>
      <c r="CW22" s="206"/>
      <c r="CX22" s="206"/>
      <c r="CY22" s="206"/>
      <c r="CZ22" s="206"/>
      <c r="DA22" s="206"/>
      <c r="DB22" s="206"/>
      <c r="DC22" s="181">
        <f t="shared" si="7"/>
        <v>1938</v>
      </c>
    </row>
    <row r="23" spans="1:107" s="110" customFormat="1" ht="15" customHeight="1" thickBot="1">
      <c r="A23" s="64" t="s">
        <v>38</v>
      </c>
      <c r="B23" s="109"/>
      <c r="C23" s="112"/>
      <c r="D23" s="113" t="s">
        <v>674</v>
      </c>
      <c r="E23" s="97" t="s">
        <v>683</v>
      </c>
      <c r="F23" s="107"/>
      <c r="G23" s="107"/>
      <c r="H23" s="107"/>
      <c r="I23" s="108"/>
      <c r="J23" s="108"/>
      <c r="K23" s="108">
        <v>58219</v>
      </c>
      <c r="L23" s="108"/>
      <c r="M23" s="108"/>
      <c r="N23" s="108"/>
      <c r="O23" s="108"/>
      <c r="P23" s="64" t="s">
        <v>200</v>
      </c>
      <c r="Q23" s="109"/>
      <c r="R23" s="112"/>
      <c r="S23" s="113" t="s">
        <v>674</v>
      </c>
      <c r="T23" s="97" t="s">
        <v>683</v>
      </c>
      <c r="U23" s="107"/>
      <c r="V23" s="107"/>
      <c r="W23" s="214"/>
      <c r="X23" s="206"/>
      <c r="Y23" s="206"/>
      <c r="Z23" s="206"/>
      <c r="AA23" s="206"/>
      <c r="AB23" s="206"/>
      <c r="AC23" s="206"/>
      <c r="AD23" s="206"/>
      <c r="AE23" s="64" t="s">
        <v>300</v>
      </c>
      <c r="AF23" s="109"/>
      <c r="AG23" s="112"/>
      <c r="AH23" s="113" t="s">
        <v>674</v>
      </c>
      <c r="AI23" s="97" t="s">
        <v>683</v>
      </c>
      <c r="AJ23" s="107"/>
      <c r="AK23" s="107"/>
      <c r="AL23" s="214"/>
      <c r="AM23" s="206"/>
      <c r="AN23" s="206"/>
      <c r="AO23" s="206">
        <v>9193</v>
      </c>
      <c r="AP23" s="206"/>
      <c r="AQ23" s="206"/>
      <c r="AR23" s="206"/>
      <c r="AS23" s="206"/>
      <c r="AT23" s="64" t="s">
        <v>375</v>
      </c>
      <c r="AU23" s="109"/>
      <c r="AV23" s="112"/>
      <c r="AW23" s="113" t="s">
        <v>674</v>
      </c>
      <c r="AX23" s="97" t="s">
        <v>683</v>
      </c>
      <c r="AY23" s="107"/>
      <c r="AZ23" s="107"/>
      <c r="BA23" s="214"/>
      <c r="BB23" s="206"/>
      <c r="BC23" s="206"/>
      <c r="BD23" s="206">
        <f>4200+Javaslat!L111</f>
        <v>19291</v>
      </c>
      <c r="BE23" s="206"/>
      <c r="BF23" s="206"/>
      <c r="BG23" s="206"/>
      <c r="BH23" s="206"/>
      <c r="BI23" s="64" t="s">
        <v>449</v>
      </c>
      <c r="BJ23" s="109"/>
      <c r="BK23" s="112"/>
      <c r="BL23" s="113" t="s">
        <v>674</v>
      </c>
      <c r="BM23" s="97" t="s">
        <v>683</v>
      </c>
      <c r="BN23" s="107"/>
      <c r="BO23" s="107"/>
      <c r="BP23" s="214"/>
      <c r="BQ23" s="206"/>
      <c r="BR23" s="206"/>
      <c r="BS23" s="206"/>
      <c r="BT23" s="206"/>
      <c r="BU23" s="206"/>
      <c r="BV23" s="206"/>
      <c r="BW23" s="206"/>
      <c r="BX23" s="64" t="s">
        <v>522</v>
      </c>
      <c r="BY23" s="109"/>
      <c r="BZ23" s="112"/>
      <c r="CA23" s="113" t="s">
        <v>674</v>
      </c>
      <c r="CB23" s="97" t="s">
        <v>683</v>
      </c>
      <c r="CC23" s="107"/>
      <c r="CD23" s="107"/>
      <c r="CE23" s="214"/>
      <c r="CF23" s="206"/>
      <c r="CG23" s="206"/>
      <c r="CH23" s="206"/>
      <c r="CI23" s="206"/>
      <c r="CJ23" s="206"/>
      <c r="CK23" s="206"/>
      <c r="CL23" s="206"/>
      <c r="CM23" s="64" t="s">
        <v>786</v>
      </c>
      <c r="CN23" s="109"/>
      <c r="CO23" s="112"/>
      <c r="CP23" s="113" t="s">
        <v>674</v>
      </c>
      <c r="CQ23" s="97" t="s">
        <v>683</v>
      </c>
      <c r="CR23" s="107"/>
      <c r="CS23" s="107"/>
      <c r="CT23" s="214"/>
      <c r="CU23" s="206"/>
      <c r="CV23" s="206"/>
      <c r="CW23" s="206"/>
      <c r="CX23" s="206">
        <v>393</v>
      </c>
      <c r="CY23" s="206"/>
      <c r="CZ23" s="206"/>
      <c r="DA23" s="206"/>
      <c r="DB23" s="206"/>
      <c r="DC23" s="181">
        <f t="shared" si="7"/>
        <v>87096</v>
      </c>
    </row>
    <row r="24" spans="1:107" s="110" customFormat="1" ht="15" customHeight="1" thickBot="1">
      <c r="A24" s="64" t="s">
        <v>39</v>
      </c>
      <c r="B24" s="109"/>
      <c r="C24" s="112"/>
      <c r="D24" s="113" t="s">
        <v>675</v>
      </c>
      <c r="E24" s="97" t="s">
        <v>684</v>
      </c>
      <c r="F24" s="107"/>
      <c r="G24" s="107"/>
      <c r="H24" s="107"/>
      <c r="I24" s="108"/>
      <c r="J24" s="108"/>
      <c r="K24" s="108"/>
      <c r="L24" s="108"/>
      <c r="M24" s="108"/>
      <c r="N24" s="108"/>
      <c r="O24" s="108"/>
      <c r="P24" s="64" t="s">
        <v>201</v>
      </c>
      <c r="Q24" s="109"/>
      <c r="R24" s="112"/>
      <c r="S24" s="113" t="s">
        <v>675</v>
      </c>
      <c r="T24" s="97" t="s">
        <v>684</v>
      </c>
      <c r="U24" s="107"/>
      <c r="V24" s="107"/>
      <c r="W24" s="214"/>
      <c r="X24" s="206"/>
      <c r="Y24" s="206"/>
      <c r="Z24" s="206"/>
      <c r="AA24" s="206"/>
      <c r="AB24" s="206"/>
      <c r="AC24" s="206"/>
      <c r="AD24" s="206"/>
      <c r="AE24" s="64" t="s">
        <v>301</v>
      </c>
      <c r="AF24" s="109"/>
      <c r="AG24" s="112"/>
      <c r="AH24" s="113" t="s">
        <v>675</v>
      </c>
      <c r="AI24" s="97" t="s">
        <v>684</v>
      </c>
      <c r="AJ24" s="107"/>
      <c r="AK24" s="107"/>
      <c r="AL24" s="214"/>
      <c r="AM24" s="206"/>
      <c r="AN24" s="206"/>
      <c r="AO24" s="206"/>
      <c r="AP24" s="206"/>
      <c r="AQ24" s="206"/>
      <c r="AR24" s="206"/>
      <c r="AS24" s="206"/>
      <c r="AT24" s="64" t="s">
        <v>376</v>
      </c>
      <c r="AU24" s="109"/>
      <c r="AV24" s="112"/>
      <c r="AW24" s="113" t="s">
        <v>675</v>
      </c>
      <c r="AX24" s="97" t="s">
        <v>684</v>
      </c>
      <c r="AY24" s="107"/>
      <c r="AZ24" s="107"/>
      <c r="BA24" s="214"/>
      <c r="BB24" s="206"/>
      <c r="BC24" s="206"/>
      <c r="BD24" s="206"/>
      <c r="BE24" s="206"/>
      <c r="BF24" s="206"/>
      <c r="BG24" s="206"/>
      <c r="BH24" s="206"/>
      <c r="BI24" s="64" t="s">
        <v>450</v>
      </c>
      <c r="BJ24" s="109"/>
      <c r="BK24" s="112"/>
      <c r="BL24" s="113" t="s">
        <v>675</v>
      </c>
      <c r="BM24" s="97" t="s">
        <v>684</v>
      </c>
      <c r="BN24" s="107"/>
      <c r="BO24" s="107"/>
      <c r="BP24" s="214"/>
      <c r="BQ24" s="206"/>
      <c r="BR24" s="206"/>
      <c r="BS24" s="206"/>
      <c r="BT24" s="206"/>
      <c r="BU24" s="206"/>
      <c r="BV24" s="206"/>
      <c r="BW24" s="206"/>
      <c r="BX24" s="64" t="s">
        <v>523</v>
      </c>
      <c r="BY24" s="109"/>
      <c r="BZ24" s="112"/>
      <c r="CA24" s="113" t="s">
        <v>675</v>
      </c>
      <c r="CB24" s="97" t="s">
        <v>684</v>
      </c>
      <c r="CC24" s="107"/>
      <c r="CD24" s="107"/>
      <c r="CE24" s="214"/>
      <c r="CF24" s="206"/>
      <c r="CG24" s="206"/>
      <c r="CH24" s="206"/>
      <c r="CI24" s="206"/>
      <c r="CJ24" s="206"/>
      <c r="CK24" s="206"/>
      <c r="CL24" s="206"/>
      <c r="CM24" s="64" t="s">
        <v>787</v>
      </c>
      <c r="CN24" s="109"/>
      <c r="CO24" s="112"/>
      <c r="CP24" s="113" t="s">
        <v>675</v>
      </c>
      <c r="CQ24" s="97" t="s">
        <v>684</v>
      </c>
      <c r="CR24" s="107"/>
      <c r="CS24" s="107"/>
      <c r="CT24" s="214"/>
      <c r="CU24" s="206"/>
      <c r="CV24" s="206"/>
      <c r="CW24" s="206"/>
      <c r="CX24" s="206"/>
      <c r="CY24" s="206"/>
      <c r="CZ24" s="206"/>
      <c r="DA24" s="206"/>
      <c r="DB24" s="206"/>
      <c r="DC24" s="181">
        <f t="shared" si="7"/>
        <v>0</v>
      </c>
    </row>
    <row r="25" spans="1:107" s="110" customFormat="1" ht="15" customHeight="1" thickBot="1">
      <c r="A25" s="64" t="s">
        <v>41</v>
      </c>
      <c r="B25" s="109"/>
      <c r="C25" s="112"/>
      <c r="D25" s="113" t="s">
        <v>676</v>
      </c>
      <c r="E25" s="97" t="s">
        <v>685</v>
      </c>
      <c r="F25" s="107"/>
      <c r="G25" s="107"/>
      <c r="H25" s="107"/>
      <c r="I25" s="108">
        <f>311+Javaslat!L67</f>
        <v>524</v>
      </c>
      <c r="J25" s="108"/>
      <c r="K25" s="108">
        <v>18135</v>
      </c>
      <c r="L25" s="108"/>
      <c r="M25" s="108"/>
      <c r="N25" s="108">
        <v>3402</v>
      </c>
      <c r="O25" s="108"/>
      <c r="P25" s="64" t="s">
        <v>202</v>
      </c>
      <c r="Q25" s="109"/>
      <c r="R25" s="112"/>
      <c r="S25" s="113" t="s">
        <v>676</v>
      </c>
      <c r="T25" s="97" t="s">
        <v>685</v>
      </c>
      <c r="U25" s="107"/>
      <c r="V25" s="107"/>
      <c r="W25" s="214"/>
      <c r="X25" s="206"/>
      <c r="Y25" s="206"/>
      <c r="Z25" s="206"/>
      <c r="AA25" s="206"/>
      <c r="AB25" s="206"/>
      <c r="AC25" s="206"/>
      <c r="AD25" s="206"/>
      <c r="AE25" s="64" t="s">
        <v>302</v>
      </c>
      <c r="AF25" s="109"/>
      <c r="AG25" s="112"/>
      <c r="AH25" s="113" t="s">
        <v>676</v>
      </c>
      <c r="AI25" s="97" t="s">
        <v>685</v>
      </c>
      <c r="AJ25" s="107"/>
      <c r="AK25" s="107"/>
      <c r="AL25" s="214"/>
      <c r="AM25" s="206">
        <f>Javaslat!L106</f>
        <v>106</v>
      </c>
      <c r="AN25" s="206"/>
      <c r="AO25" s="206">
        <v>2482</v>
      </c>
      <c r="AP25" s="206">
        <v>1063</v>
      </c>
      <c r="AQ25" s="206"/>
      <c r="AR25" s="206">
        <v>1931</v>
      </c>
      <c r="AS25" s="206"/>
      <c r="AT25" s="64" t="s">
        <v>377</v>
      </c>
      <c r="AU25" s="109"/>
      <c r="AV25" s="112"/>
      <c r="AW25" s="113" t="s">
        <v>676</v>
      </c>
      <c r="AX25" s="97" t="s">
        <v>685</v>
      </c>
      <c r="AY25" s="107"/>
      <c r="AZ25" s="107"/>
      <c r="BA25" s="214"/>
      <c r="BB25" s="206"/>
      <c r="BC25" s="206"/>
      <c r="BD25" s="206">
        <f>1134+Javaslat!L114</f>
        <v>5209</v>
      </c>
      <c r="BE25" s="206"/>
      <c r="BF25" s="206"/>
      <c r="BG25" s="206"/>
      <c r="BH25" s="206"/>
      <c r="BI25" s="64" t="s">
        <v>350</v>
      </c>
      <c r="BJ25" s="109"/>
      <c r="BK25" s="112"/>
      <c r="BL25" s="113" t="s">
        <v>676</v>
      </c>
      <c r="BM25" s="97" t="s">
        <v>685</v>
      </c>
      <c r="BN25" s="107"/>
      <c r="BO25" s="107"/>
      <c r="BP25" s="214"/>
      <c r="BQ25" s="206"/>
      <c r="BR25" s="206"/>
      <c r="BS25" s="206"/>
      <c r="BT25" s="206">
        <v>51</v>
      </c>
      <c r="BU25" s="206"/>
      <c r="BV25" s="206"/>
      <c r="BW25" s="206">
        <v>84</v>
      </c>
      <c r="BX25" s="64" t="s">
        <v>524</v>
      </c>
      <c r="BY25" s="109"/>
      <c r="BZ25" s="112"/>
      <c r="CA25" s="113" t="s">
        <v>676</v>
      </c>
      <c r="CB25" s="97" t="s">
        <v>685</v>
      </c>
      <c r="CC25" s="107"/>
      <c r="CD25" s="107"/>
      <c r="CE25" s="214"/>
      <c r="CF25" s="206"/>
      <c r="CG25" s="206"/>
      <c r="CH25" s="206"/>
      <c r="CI25" s="206"/>
      <c r="CJ25" s="206"/>
      <c r="CK25" s="206"/>
      <c r="CL25" s="206"/>
      <c r="CM25" s="64" t="s">
        <v>788</v>
      </c>
      <c r="CN25" s="109"/>
      <c r="CO25" s="112"/>
      <c r="CP25" s="113" t="s">
        <v>676</v>
      </c>
      <c r="CQ25" s="97" t="s">
        <v>685</v>
      </c>
      <c r="CR25" s="107"/>
      <c r="CS25" s="107"/>
      <c r="CT25" s="214"/>
      <c r="CU25" s="206"/>
      <c r="CV25" s="206"/>
      <c r="CW25" s="206"/>
      <c r="CX25" s="206">
        <v>106</v>
      </c>
      <c r="CY25" s="206"/>
      <c r="CZ25" s="206"/>
      <c r="DA25" s="206"/>
      <c r="DB25" s="206"/>
      <c r="DC25" s="181">
        <f t="shared" si="7"/>
        <v>33093</v>
      </c>
    </row>
    <row r="26" spans="1:107" s="110" customFormat="1" ht="15" customHeight="1" thickBot="1">
      <c r="A26" s="64" t="s">
        <v>42</v>
      </c>
      <c r="B26" s="109"/>
      <c r="C26" s="112"/>
      <c r="D26" s="113" t="s">
        <v>677</v>
      </c>
      <c r="E26" s="97" t="s">
        <v>686</v>
      </c>
      <c r="F26" s="107"/>
      <c r="G26" s="107"/>
      <c r="H26" s="107"/>
      <c r="I26" s="108">
        <f>4050+Javaslat!L68</f>
        <v>3050</v>
      </c>
      <c r="J26" s="108"/>
      <c r="K26" s="108"/>
      <c r="L26" s="108"/>
      <c r="M26" s="108"/>
      <c r="N26" s="108"/>
      <c r="O26" s="108"/>
      <c r="P26" s="64" t="s">
        <v>203</v>
      </c>
      <c r="Q26" s="109"/>
      <c r="R26" s="112"/>
      <c r="S26" s="113" t="s">
        <v>677</v>
      </c>
      <c r="T26" s="97" t="s">
        <v>686</v>
      </c>
      <c r="U26" s="107"/>
      <c r="V26" s="107"/>
      <c r="W26" s="214"/>
      <c r="X26" s="206"/>
      <c r="Y26" s="206"/>
      <c r="Z26" s="206"/>
      <c r="AA26" s="206"/>
      <c r="AB26" s="206"/>
      <c r="AC26" s="206"/>
      <c r="AD26" s="206"/>
      <c r="AE26" s="64" t="s">
        <v>303</v>
      </c>
      <c r="AF26" s="109"/>
      <c r="AG26" s="112"/>
      <c r="AH26" s="113" t="s">
        <v>677</v>
      </c>
      <c r="AI26" s="97" t="s">
        <v>686</v>
      </c>
      <c r="AJ26" s="107"/>
      <c r="AK26" s="107"/>
      <c r="AL26" s="214"/>
      <c r="AM26" s="206"/>
      <c r="AN26" s="206"/>
      <c r="AO26" s="206"/>
      <c r="AP26" s="206"/>
      <c r="AQ26" s="206"/>
      <c r="AR26" s="206"/>
      <c r="AS26" s="206"/>
      <c r="AT26" s="64" t="s">
        <v>378</v>
      </c>
      <c r="AU26" s="109"/>
      <c r="AV26" s="112"/>
      <c r="AW26" s="113" t="s">
        <v>677</v>
      </c>
      <c r="AX26" s="97" t="s">
        <v>686</v>
      </c>
      <c r="AY26" s="107"/>
      <c r="AZ26" s="107"/>
      <c r="BA26" s="214"/>
      <c r="BB26" s="206"/>
      <c r="BC26" s="206"/>
      <c r="BD26" s="206"/>
      <c r="BE26" s="206"/>
      <c r="BF26" s="206"/>
      <c r="BG26" s="206"/>
      <c r="BH26" s="206"/>
      <c r="BI26" s="64" t="s">
        <v>451</v>
      </c>
      <c r="BJ26" s="109"/>
      <c r="BK26" s="112"/>
      <c r="BL26" s="113" t="s">
        <v>677</v>
      </c>
      <c r="BM26" s="97" t="s">
        <v>686</v>
      </c>
      <c r="BN26" s="107"/>
      <c r="BO26" s="107"/>
      <c r="BP26" s="214"/>
      <c r="BQ26" s="206"/>
      <c r="BR26" s="206"/>
      <c r="BS26" s="206"/>
      <c r="BT26" s="206"/>
      <c r="BU26" s="206"/>
      <c r="BV26" s="206"/>
      <c r="BW26" s="206"/>
      <c r="BX26" s="64" t="s">
        <v>525</v>
      </c>
      <c r="BY26" s="109"/>
      <c r="BZ26" s="112"/>
      <c r="CA26" s="113" t="s">
        <v>677</v>
      </c>
      <c r="CB26" s="97" t="s">
        <v>686</v>
      </c>
      <c r="CC26" s="107"/>
      <c r="CD26" s="107"/>
      <c r="CE26" s="214"/>
      <c r="CF26" s="206"/>
      <c r="CG26" s="206"/>
      <c r="CH26" s="206"/>
      <c r="CI26" s="206"/>
      <c r="CJ26" s="206"/>
      <c r="CK26" s="206"/>
      <c r="CL26" s="206"/>
      <c r="CM26" s="64" t="s">
        <v>789</v>
      </c>
      <c r="CN26" s="109"/>
      <c r="CO26" s="112"/>
      <c r="CP26" s="113" t="s">
        <v>677</v>
      </c>
      <c r="CQ26" s="97" t="s">
        <v>686</v>
      </c>
      <c r="CR26" s="107"/>
      <c r="CS26" s="107"/>
      <c r="CT26" s="214"/>
      <c r="CU26" s="206"/>
      <c r="CV26" s="206"/>
      <c r="CW26" s="206"/>
      <c r="CX26" s="206"/>
      <c r="CY26" s="206"/>
      <c r="CZ26" s="206"/>
      <c r="DA26" s="206"/>
      <c r="DB26" s="206"/>
      <c r="DC26" s="181">
        <f t="shared" si="7"/>
        <v>3050</v>
      </c>
    </row>
    <row r="27" spans="1:107" s="110" customFormat="1" ht="15" customHeight="1" thickBot="1">
      <c r="A27" s="64" t="s">
        <v>44</v>
      </c>
      <c r="B27" s="109"/>
      <c r="C27" s="112"/>
      <c r="D27" s="113" t="s">
        <v>678</v>
      </c>
      <c r="E27" s="97" t="s">
        <v>687</v>
      </c>
      <c r="F27" s="107"/>
      <c r="G27" s="107"/>
      <c r="H27" s="107"/>
      <c r="I27" s="108">
        <f>3000+Javaslat!L64</f>
        <v>9000</v>
      </c>
      <c r="J27" s="108"/>
      <c r="K27" s="108"/>
      <c r="L27" s="108"/>
      <c r="M27" s="108"/>
      <c r="N27" s="108"/>
      <c r="O27" s="108"/>
      <c r="P27" s="64" t="s">
        <v>204</v>
      </c>
      <c r="Q27" s="109"/>
      <c r="R27" s="112"/>
      <c r="S27" s="113" t="s">
        <v>678</v>
      </c>
      <c r="T27" s="97" t="s">
        <v>687</v>
      </c>
      <c r="U27" s="107"/>
      <c r="V27" s="107"/>
      <c r="W27" s="214"/>
      <c r="X27" s="206"/>
      <c r="Y27" s="206"/>
      <c r="Z27" s="206"/>
      <c r="AA27" s="206"/>
      <c r="AB27" s="206"/>
      <c r="AC27" s="206"/>
      <c r="AD27" s="206"/>
      <c r="AE27" s="64" t="s">
        <v>304</v>
      </c>
      <c r="AF27" s="109"/>
      <c r="AG27" s="112"/>
      <c r="AH27" s="113" t="s">
        <v>678</v>
      </c>
      <c r="AI27" s="97" t="s">
        <v>687</v>
      </c>
      <c r="AJ27" s="107"/>
      <c r="AK27" s="107"/>
      <c r="AL27" s="214"/>
      <c r="AM27" s="206"/>
      <c r="AN27" s="206"/>
      <c r="AO27" s="206"/>
      <c r="AP27" s="206"/>
      <c r="AQ27" s="206"/>
      <c r="AR27" s="206"/>
      <c r="AS27" s="206"/>
      <c r="AT27" s="64" t="s">
        <v>379</v>
      </c>
      <c r="AU27" s="109"/>
      <c r="AV27" s="112"/>
      <c r="AW27" s="113" t="s">
        <v>678</v>
      </c>
      <c r="AX27" s="97" t="s">
        <v>687</v>
      </c>
      <c r="AY27" s="107"/>
      <c r="AZ27" s="107"/>
      <c r="BA27" s="214"/>
      <c r="BB27" s="206"/>
      <c r="BC27" s="206"/>
      <c r="BD27" s="206"/>
      <c r="BE27" s="206"/>
      <c r="BF27" s="206"/>
      <c r="BG27" s="206"/>
      <c r="BH27" s="206"/>
      <c r="BI27" s="64" t="s">
        <v>452</v>
      </c>
      <c r="BJ27" s="109"/>
      <c r="BK27" s="112"/>
      <c r="BL27" s="113" t="s">
        <v>678</v>
      </c>
      <c r="BM27" s="97" t="s">
        <v>687</v>
      </c>
      <c r="BN27" s="107"/>
      <c r="BO27" s="107"/>
      <c r="BP27" s="214"/>
      <c r="BQ27" s="206"/>
      <c r="BR27" s="206"/>
      <c r="BS27" s="206"/>
      <c r="BT27" s="206"/>
      <c r="BU27" s="206"/>
      <c r="BV27" s="206"/>
      <c r="BW27" s="206"/>
      <c r="BX27" s="64" t="s">
        <v>526</v>
      </c>
      <c r="BY27" s="109"/>
      <c r="BZ27" s="112"/>
      <c r="CA27" s="113" t="s">
        <v>678</v>
      </c>
      <c r="CB27" s="97" t="s">
        <v>687</v>
      </c>
      <c r="CC27" s="107"/>
      <c r="CD27" s="107"/>
      <c r="CE27" s="214"/>
      <c r="CF27" s="206"/>
      <c r="CG27" s="206"/>
      <c r="CH27" s="206"/>
      <c r="CI27" s="206"/>
      <c r="CJ27" s="206"/>
      <c r="CK27" s="206"/>
      <c r="CL27" s="206"/>
      <c r="CM27" s="64" t="s">
        <v>790</v>
      </c>
      <c r="CN27" s="109"/>
      <c r="CO27" s="112"/>
      <c r="CP27" s="113" t="s">
        <v>678</v>
      </c>
      <c r="CQ27" s="97" t="s">
        <v>687</v>
      </c>
      <c r="CR27" s="107"/>
      <c r="CS27" s="107"/>
      <c r="CT27" s="214"/>
      <c r="CU27" s="206"/>
      <c r="CV27" s="206"/>
      <c r="CW27" s="206"/>
      <c r="CX27" s="206"/>
      <c r="CY27" s="206"/>
      <c r="CZ27" s="206"/>
      <c r="DA27" s="206"/>
      <c r="DB27" s="206"/>
      <c r="DC27" s="181">
        <f t="shared" si="7"/>
        <v>9000</v>
      </c>
    </row>
    <row r="28" spans="1:107" s="110" customFormat="1" ht="15" customHeight="1" thickBot="1">
      <c r="A28" s="64" t="s">
        <v>45</v>
      </c>
      <c r="B28" s="109"/>
      <c r="C28" s="112"/>
      <c r="D28" s="113" t="s">
        <v>679</v>
      </c>
      <c r="E28" s="97" t="s">
        <v>688</v>
      </c>
      <c r="F28" s="107"/>
      <c r="G28" s="107"/>
      <c r="H28" s="107"/>
      <c r="I28" s="108"/>
      <c r="J28" s="108"/>
      <c r="K28" s="108"/>
      <c r="L28" s="108"/>
      <c r="M28" s="108"/>
      <c r="N28" s="108"/>
      <c r="O28" s="108"/>
      <c r="P28" s="64" t="s">
        <v>205</v>
      </c>
      <c r="Q28" s="109"/>
      <c r="R28" s="112"/>
      <c r="S28" s="113" t="s">
        <v>679</v>
      </c>
      <c r="T28" s="97" t="s">
        <v>688</v>
      </c>
      <c r="U28" s="107"/>
      <c r="V28" s="107"/>
      <c r="W28" s="214"/>
      <c r="X28" s="206"/>
      <c r="Y28" s="206"/>
      <c r="Z28" s="206"/>
      <c r="AA28" s="206"/>
      <c r="AB28" s="206"/>
      <c r="AC28" s="206"/>
      <c r="AD28" s="206"/>
      <c r="AE28" s="64" t="s">
        <v>305</v>
      </c>
      <c r="AF28" s="109"/>
      <c r="AG28" s="112"/>
      <c r="AH28" s="113" t="s">
        <v>679</v>
      </c>
      <c r="AI28" s="97" t="s">
        <v>688</v>
      </c>
      <c r="AJ28" s="107"/>
      <c r="AK28" s="107"/>
      <c r="AL28" s="214"/>
      <c r="AM28" s="206"/>
      <c r="AN28" s="206"/>
      <c r="AO28" s="206"/>
      <c r="AP28" s="206"/>
      <c r="AQ28" s="206"/>
      <c r="AR28" s="206"/>
      <c r="AS28" s="206"/>
      <c r="AT28" s="64" t="s">
        <v>380</v>
      </c>
      <c r="AU28" s="109"/>
      <c r="AV28" s="112"/>
      <c r="AW28" s="113" t="s">
        <v>679</v>
      </c>
      <c r="AX28" s="97" t="s">
        <v>688</v>
      </c>
      <c r="AY28" s="107"/>
      <c r="AZ28" s="107"/>
      <c r="BA28" s="214"/>
      <c r="BB28" s="206"/>
      <c r="BC28" s="206"/>
      <c r="BD28" s="206"/>
      <c r="BE28" s="206"/>
      <c r="BF28" s="206"/>
      <c r="BG28" s="206"/>
      <c r="BH28" s="206"/>
      <c r="BI28" s="64" t="s">
        <v>453</v>
      </c>
      <c r="BJ28" s="109"/>
      <c r="BK28" s="112"/>
      <c r="BL28" s="113" t="s">
        <v>679</v>
      </c>
      <c r="BM28" s="97" t="s">
        <v>688</v>
      </c>
      <c r="BN28" s="107"/>
      <c r="BO28" s="107"/>
      <c r="BP28" s="214"/>
      <c r="BQ28" s="206"/>
      <c r="BR28" s="206"/>
      <c r="BS28" s="206"/>
      <c r="BT28" s="206"/>
      <c r="BU28" s="206"/>
      <c r="BV28" s="206"/>
      <c r="BW28" s="206"/>
      <c r="BX28" s="64" t="s">
        <v>527</v>
      </c>
      <c r="BY28" s="109"/>
      <c r="BZ28" s="112"/>
      <c r="CA28" s="113" t="s">
        <v>679</v>
      </c>
      <c r="CB28" s="97" t="s">
        <v>688</v>
      </c>
      <c r="CC28" s="107"/>
      <c r="CD28" s="107"/>
      <c r="CE28" s="214"/>
      <c r="CF28" s="206"/>
      <c r="CG28" s="206"/>
      <c r="CH28" s="206"/>
      <c r="CI28" s="206"/>
      <c r="CJ28" s="206"/>
      <c r="CK28" s="206"/>
      <c r="CL28" s="206"/>
      <c r="CM28" s="64" t="s">
        <v>791</v>
      </c>
      <c r="CN28" s="109"/>
      <c r="CO28" s="112"/>
      <c r="CP28" s="113" t="s">
        <v>679</v>
      </c>
      <c r="CQ28" s="97" t="s">
        <v>688</v>
      </c>
      <c r="CR28" s="107"/>
      <c r="CS28" s="107"/>
      <c r="CT28" s="214"/>
      <c r="CU28" s="206"/>
      <c r="CV28" s="206"/>
      <c r="CW28" s="206"/>
      <c r="CX28" s="206"/>
      <c r="CY28" s="206"/>
      <c r="CZ28" s="206">
        <f>Javaslat!L122</f>
        <v>300</v>
      </c>
      <c r="DA28" s="206"/>
      <c r="DB28" s="206"/>
      <c r="DC28" s="181">
        <f t="shared" si="7"/>
        <v>300</v>
      </c>
    </row>
    <row r="29" spans="1:107" s="134" customFormat="1" ht="15" customHeight="1" thickBot="1">
      <c r="A29" s="64" t="s">
        <v>46</v>
      </c>
      <c r="B29" s="135"/>
      <c r="C29" s="136" t="s">
        <v>105</v>
      </c>
      <c r="D29" s="140" t="s">
        <v>565</v>
      </c>
      <c r="E29" s="141"/>
      <c r="F29" s="138"/>
      <c r="G29" s="138"/>
      <c r="H29" s="138"/>
      <c r="I29" s="139">
        <f>SUM(I30:I31)</f>
        <v>6100</v>
      </c>
      <c r="J29" s="139">
        <f aca="true" t="shared" si="29" ref="J29:O29">SUM(J30:J31)</f>
        <v>0</v>
      </c>
      <c r="K29" s="139">
        <f t="shared" si="29"/>
        <v>0</v>
      </c>
      <c r="L29" s="139">
        <f t="shared" si="29"/>
        <v>0</v>
      </c>
      <c r="M29" s="139">
        <f t="shared" si="29"/>
        <v>0</v>
      </c>
      <c r="N29" s="139">
        <f t="shared" si="29"/>
        <v>0</v>
      </c>
      <c r="O29" s="139">
        <f t="shared" si="29"/>
        <v>0</v>
      </c>
      <c r="P29" s="64" t="s">
        <v>206</v>
      </c>
      <c r="Q29" s="135"/>
      <c r="R29" s="136" t="s">
        <v>105</v>
      </c>
      <c r="S29" s="140" t="s">
        <v>565</v>
      </c>
      <c r="T29" s="141"/>
      <c r="U29" s="138"/>
      <c r="V29" s="138"/>
      <c r="W29" s="215"/>
      <c r="X29" s="207">
        <f aca="true" t="shared" si="30" ref="X29:AD29">SUM(X30:X31)</f>
        <v>0</v>
      </c>
      <c r="Y29" s="207">
        <f t="shared" si="30"/>
        <v>0</v>
      </c>
      <c r="Z29" s="207">
        <f t="shared" si="30"/>
        <v>0</v>
      </c>
      <c r="AA29" s="207">
        <f t="shared" si="30"/>
        <v>0</v>
      </c>
      <c r="AB29" s="207">
        <f t="shared" si="30"/>
        <v>0</v>
      </c>
      <c r="AC29" s="207">
        <f t="shared" si="30"/>
        <v>0</v>
      </c>
      <c r="AD29" s="207">
        <f t="shared" si="30"/>
        <v>0</v>
      </c>
      <c r="AE29" s="64" t="s">
        <v>306</v>
      </c>
      <c r="AF29" s="135"/>
      <c r="AG29" s="136" t="s">
        <v>105</v>
      </c>
      <c r="AH29" s="140" t="s">
        <v>565</v>
      </c>
      <c r="AI29" s="141"/>
      <c r="AJ29" s="138"/>
      <c r="AK29" s="138"/>
      <c r="AL29" s="215"/>
      <c r="AM29" s="207">
        <f aca="true" t="shared" si="31" ref="AM29:AS29">SUM(AM30:AM31)</f>
        <v>0</v>
      </c>
      <c r="AN29" s="207">
        <f t="shared" si="31"/>
        <v>0</v>
      </c>
      <c r="AO29" s="207">
        <f t="shared" si="31"/>
        <v>0</v>
      </c>
      <c r="AP29" s="207">
        <f t="shared" si="31"/>
        <v>0</v>
      </c>
      <c r="AQ29" s="207">
        <f t="shared" si="31"/>
        <v>0</v>
      </c>
      <c r="AR29" s="207">
        <f t="shared" si="31"/>
        <v>0</v>
      </c>
      <c r="AS29" s="207">
        <f t="shared" si="31"/>
        <v>0</v>
      </c>
      <c r="AT29" s="64" t="s">
        <v>381</v>
      </c>
      <c r="AU29" s="135"/>
      <c r="AV29" s="136" t="s">
        <v>105</v>
      </c>
      <c r="AW29" s="140" t="s">
        <v>565</v>
      </c>
      <c r="AX29" s="141"/>
      <c r="AY29" s="138"/>
      <c r="AZ29" s="138"/>
      <c r="BA29" s="215"/>
      <c r="BB29" s="207">
        <f aca="true" t="shared" si="32" ref="BB29:BH29">SUM(BB30:BB31)</f>
        <v>0</v>
      </c>
      <c r="BC29" s="207">
        <f t="shared" si="32"/>
        <v>0</v>
      </c>
      <c r="BD29" s="207">
        <f t="shared" si="32"/>
        <v>0</v>
      </c>
      <c r="BE29" s="207">
        <f t="shared" si="32"/>
        <v>0</v>
      </c>
      <c r="BF29" s="207">
        <f t="shared" si="32"/>
        <v>0</v>
      </c>
      <c r="BG29" s="207">
        <f t="shared" si="32"/>
        <v>0</v>
      </c>
      <c r="BH29" s="207">
        <f t="shared" si="32"/>
        <v>0</v>
      </c>
      <c r="BI29" s="64" t="s">
        <v>454</v>
      </c>
      <c r="BJ29" s="135"/>
      <c r="BK29" s="136" t="s">
        <v>105</v>
      </c>
      <c r="BL29" s="140" t="s">
        <v>565</v>
      </c>
      <c r="BM29" s="141"/>
      <c r="BN29" s="138"/>
      <c r="BO29" s="138"/>
      <c r="BP29" s="215"/>
      <c r="BQ29" s="207">
        <f aca="true" t="shared" si="33" ref="BQ29:BW29">SUM(BQ30:BQ31)</f>
        <v>0</v>
      </c>
      <c r="BR29" s="207">
        <f t="shared" si="33"/>
        <v>0</v>
      </c>
      <c r="BS29" s="207">
        <f t="shared" si="33"/>
        <v>0</v>
      </c>
      <c r="BT29" s="207">
        <f t="shared" si="33"/>
        <v>0</v>
      </c>
      <c r="BU29" s="207">
        <f t="shared" si="33"/>
        <v>0</v>
      </c>
      <c r="BV29" s="207">
        <f t="shared" si="33"/>
        <v>0</v>
      </c>
      <c r="BW29" s="207">
        <f t="shared" si="33"/>
        <v>0</v>
      </c>
      <c r="BX29" s="64" t="s">
        <v>528</v>
      </c>
      <c r="BY29" s="135"/>
      <c r="BZ29" s="136" t="s">
        <v>105</v>
      </c>
      <c r="CA29" s="140" t="s">
        <v>565</v>
      </c>
      <c r="CB29" s="141"/>
      <c r="CC29" s="138"/>
      <c r="CD29" s="138"/>
      <c r="CE29" s="215"/>
      <c r="CF29" s="207">
        <f aca="true" t="shared" si="34" ref="CF29:CL29">SUM(CF30:CF31)</f>
        <v>0</v>
      </c>
      <c r="CG29" s="207">
        <f t="shared" si="34"/>
        <v>0</v>
      </c>
      <c r="CH29" s="207">
        <f t="shared" si="34"/>
        <v>0</v>
      </c>
      <c r="CI29" s="207">
        <f t="shared" si="34"/>
        <v>0</v>
      </c>
      <c r="CJ29" s="207">
        <f t="shared" si="34"/>
        <v>0</v>
      </c>
      <c r="CK29" s="207">
        <f t="shared" si="34"/>
        <v>0</v>
      </c>
      <c r="CL29" s="207">
        <f t="shared" si="34"/>
        <v>0</v>
      </c>
      <c r="CM29" s="64" t="s">
        <v>792</v>
      </c>
      <c r="CN29" s="135"/>
      <c r="CO29" s="136" t="s">
        <v>105</v>
      </c>
      <c r="CP29" s="140" t="s">
        <v>565</v>
      </c>
      <c r="CQ29" s="141"/>
      <c r="CR29" s="138"/>
      <c r="CS29" s="138"/>
      <c r="CT29" s="215"/>
      <c r="CU29" s="207">
        <f aca="true" t="shared" si="35" ref="CU29:DB29">SUM(CU30:CU31)</f>
        <v>0</v>
      </c>
      <c r="CV29" s="207">
        <f t="shared" si="35"/>
        <v>0</v>
      </c>
      <c r="CW29" s="207">
        <f t="shared" si="35"/>
        <v>0</v>
      </c>
      <c r="CX29" s="207">
        <f t="shared" si="35"/>
        <v>0</v>
      </c>
      <c r="CY29" s="207">
        <f t="shared" si="35"/>
        <v>0</v>
      </c>
      <c r="CZ29" s="207">
        <f t="shared" si="35"/>
        <v>0</v>
      </c>
      <c r="DA29" s="207">
        <f>SUM(DA30:DA31)</f>
        <v>0</v>
      </c>
      <c r="DB29" s="207">
        <f t="shared" si="35"/>
        <v>0</v>
      </c>
      <c r="DC29" s="183">
        <f t="shared" si="7"/>
        <v>6100</v>
      </c>
    </row>
    <row r="30" spans="1:107" s="96" customFormat="1" ht="15" customHeight="1" thickBot="1">
      <c r="A30" s="64" t="s">
        <v>48</v>
      </c>
      <c r="B30" s="94"/>
      <c r="C30" s="115"/>
      <c r="D30" s="95" t="s">
        <v>693</v>
      </c>
      <c r="E30" s="97" t="s">
        <v>691</v>
      </c>
      <c r="F30" s="116"/>
      <c r="G30" s="98"/>
      <c r="H30" s="98"/>
      <c r="I30" s="108">
        <v>6100</v>
      </c>
      <c r="J30" s="108"/>
      <c r="K30" s="108"/>
      <c r="L30" s="108"/>
      <c r="M30" s="108"/>
      <c r="N30" s="108"/>
      <c r="O30" s="108"/>
      <c r="P30" s="64" t="s">
        <v>207</v>
      </c>
      <c r="Q30" s="94"/>
      <c r="R30" s="115"/>
      <c r="S30" s="95" t="s">
        <v>693</v>
      </c>
      <c r="T30" s="97" t="s">
        <v>691</v>
      </c>
      <c r="U30" s="116"/>
      <c r="V30" s="98"/>
      <c r="W30" s="217"/>
      <c r="X30" s="206"/>
      <c r="Y30" s="206"/>
      <c r="Z30" s="206"/>
      <c r="AA30" s="206"/>
      <c r="AB30" s="206"/>
      <c r="AC30" s="206"/>
      <c r="AD30" s="206"/>
      <c r="AE30" s="64" t="s">
        <v>307</v>
      </c>
      <c r="AF30" s="94"/>
      <c r="AG30" s="115"/>
      <c r="AH30" s="95" t="s">
        <v>693</v>
      </c>
      <c r="AI30" s="97" t="s">
        <v>691</v>
      </c>
      <c r="AJ30" s="116"/>
      <c r="AK30" s="98"/>
      <c r="AL30" s="217"/>
      <c r="AM30" s="206"/>
      <c r="AN30" s="206"/>
      <c r="AO30" s="206"/>
      <c r="AP30" s="206"/>
      <c r="AQ30" s="206"/>
      <c r="AR30" s="206"/>
      <c r="AS30" s="206"/>
      <c r="AT30" s="64" t="s">
        <v>382</v>
      </c>
      <c r="AU30" s="94"/>
      <c r="AV30" s="115"/>
      <c r="AW30" s="95" t="s">
        <v>693</v>
      </c>
      <c r="AX30" s="97" t="s">
        <v>691</v>
      </c>
      <c r="AY30" s="116"/>
      <c r="AZ30" s="98"/>
      <c r="BA30" s="217"/>
      <c r="BB30" s="206"/>
      <c r="BC30" s="206"/>
      <c r="BD30" s="206"/>
      <c r="BE30" s="206"/>
      <c r="BF30" s="206"/>
      <c r="BG30" s="206"/>
      <c r="BH30" s="206"/>
      <c r="BI30" s="64" t="s">
        <v>455</v>
      </c>
      <c r="BJ30" s="94"/>
      <c r="BK30" s="115"/>
      <c r="BL30" s="95" t="s">
        <v>693</v>
      </c>
      <c r="BM30" s="97" t="s">
        <v>691</v>
      </c>
      <c r="BN30" s="116"/>
      <c r="BO30" s="98"/>
      <c r="BP30" s="217"/>
      <c r="BQ30" s="206"/>
      <c r="BR30" s="206"/>
      <c r="BS30" s="206"/>
      <c r="BT30" s="206"/>
      <c r="BU30" s="206"/>
      <c r="BV30" s="206"/>
      <c r="BW30" s="206"/>
      <c r="BX30" s="64" t="s">
        <v>719</v>
      </c>
      <c r="BY30" s="94"/>
      <c r="BZ30" s="115"/>
      <c r="CA30" s="95" t="s">
        <v>693</v>
      </c>
      <c r="CB30" s="97" t="s">
        <v>691</v>
      </c>
      <c r="CC30" s="116"/>
      <c r="CD30" s="98"/>
      <c r="CE30" s="217"/>
      <c r="CF30" s="206"/>
      <c r="CG30" s="206"/>
      <c r="CH30" s="206"/>
      <c r="CI30" s="206"/>
      <c r="CJ30" s="206"/>
      <c r="CK30" s="206"/>
      <c r="CL30" s="206"/>
      <c r="CM30" s="64" t="s">
        <v>793</v>
      </c>
      <c r="CN30" s="94"/>
      <c r="CO30" s="115"/>
      <c r="CP30" s="95" t="s">
        <v>693</v>
      </c>
      <c r="CQ30" s="97" t="s">
        <v>691</v>
      </c>
      <c r="CR30" s="116"/>
      <c r="CS30" s="98"/>
      <c r="CT30" s="217"/>
      <c r="CU30" s="206"/>
      <c r="CV30" s="206"/>
      <c r="CW30" s="206"/>
      <c r="CX30" s="206"/>
      <c r="CY30" s="206"/>
      <c r="CZ30" s="206"/>
      <c r="DA30" s="206"/>
      <c r="DB30" s="206"/>
      <c r="DC30" s="181">
        <f t="shared" si="7"/>
        <v>6100</v>
      </c>
    </row>
    <row r="31" spans="1:107" s="96" customFormat="1" ht="15" customHeight="1" thickBot="1">
      <c r="A31" s="64" t="s">
        <v>49</v>
      </c>
      <c r="B31" s="94"/>
      <c r="C31" s="115"/>
      <c r="D31" s="95" t="s">
        <v>694</v>
      </c>
      <c r="E31" s="97" t="s">
        <v>692</v>
      </c>
      <c r="F31" s="116"/>
      <c r="G31" s="98"/>
      <c r="H31" s="98"/>
      <c r="I31" s="108"/>
      <c r="J31" s="108"/>
      <c r="K31" s="108"/>
      <c r="L31" s="108"/>
      <c r="M31" s="108"/>
      <c r="N31" s="108"/>
      <c r="O31" s="108"/>
      <c r="P31" s="64" t="s">
        <v>208</v>
      </c>
      <c r="Q31" s="94"/>
      <c r="R31" s="115"/>
      <c r="S31" s="95" t="s">
        <v>694</v>
      </c>
      <c r="T31" s="97" t="s">
        <v>692</v>
      </c>
      <c r="U31" s="116"/>
      <c r="V31" s="98"/>
      <c r="W31" s="217"/>
      <c r="X31" s="206"/>
      <c r="Y31" s="206"/>
      <c r="Z31" s="206"/>
      <c r="AA31" s="206"/>
      <c r="AB31" s="206"/>
      <c r="AC31" s="206"/>
      <c r="AD31" s="206"/>
      <c r="AE31" s="64" t="s">
        <v>308</v>
      </c>
      <c r="AF31" s="94"/>
      <c r="AG31" s="115"/>
      <c r="AH31" s="95" t="s">
        <v>694</v>
      </c>
      <c r="AI31" s="97" t="s">
        <v>692</v>
      </c>
      <c r="AJ31" s="116"/>
      <c r="AK31" s="98"/>
      <c r="AL31" s="217"/>
      <c r="AM31" s="206"/>
      <c r="AN31" s="206"/>
      <c r="AO31" s="206"/>
      <c r="AP31" s="206"/>
      <c r="AQ31" s="206"/>
      <c r="AR31" s="206"/>
      <c r="AS31" s="206"/>
      <c r="AT31" s="64" t="s">
        <v>383</v>
      </c>
      <c r="AU31" s="94"/>
      <c r="AV31" s="115"/>
      <c r="AW31" s="95" t="s">
        <v>694</v>
      </c>
      <c r="AX31" s="97" t="s">
        <v>692</v>
      </c>
      <c r="AY31" s="116"/>
      <c r="AZ31" s="98"/>
      <c r="BA31" s="217"/>
      <c r="BB31" s="206"/>
      <c r="BC31" s="206"/>
      <c r="BD31" s="206"/>
      <c r="BE31" s="206"/>
      <c r="BF31" s="206"/>
      <c r="BG31" s="206"/>
      <c r="BH31" s="206"/>
      <c r="BI31" s="64" t="s">
        <v>456</v>
      </c>
      <c r="BJ31" s="94"/>
      <c r="BK31" s="115"/>
      <c r="BL31" s="95" t="s">
        <v>694</v>
      </c>
      <c r="BM31" s="97" t="s">
        <v>692</v>
      </c>
      <c r="BN31" s="116"/>
      <c r="BO31" s="98"/>
      <c r="BP31" s="217"/>
      <c r="BQ31" s="206"/>
      <c r="BR31" s="206"/>
      <c r="BS31" s="206"/>
      <c r="BT31" s="206"/>
      <c r="BU31" s="206"/>
      <c r="BV31" s="206"/>
      <c r="BW31" s="206"/>
      <c r="BX31" s="64" t="s">
        <v>720</v>
      </c>
      <c r="BY31" s="94"/>
      <c r="BZ31" s="115"/>
      <c r="CA31" s="95" t="s">
        <v>694</v>
      </c>
      <c r="CB31" s="97" t="s">
        <v>692</v>
      </c>
      <c r="CC31" s="116"/>
      <c r="CD31" s="98"/>
      <c r="CE31" s="217"/>
      <c r="CF31" s="206"/>
      <c r="CG31" s="206"/>
      <c r="CH31" s="206"/>
      <c r="CI31" s="206"/>
      <c r="CJ31" s="206"/>
      <c r="CK31" s="206"/>
      <c r="CL31" s="206"/>
      <c r="CM31" s="64" t="s">
        <v>794</v>
      </c>
      <c r="CN31" s="94"/>
      <c r="CO31" s="115"/>
      <c r="CP31" s="95" t="s">
        <v>694</v>
      </c>
      <c r="CQ31" s="97" t="s">
        <v>692</v>
      </c>
      <c r="CR31" s="116"/>
      <c r="CS31" s="98"/>
      <c r="CT31" s="217"/>
      <c r="CU31" s="206"/>
      <c r="CV31" s="206"/>
      <c r="CW31" s="206"/>
      <c r="CX31" s="206"/>
      <c r="CY31" s="206"/>
      <c r="CZ31" s="206"/>
      <c r="DA31" s="206"/>
      <c r="DB31" s="206"/>
      <c r="DC31" s="181">
        <f t="shared" si="7"/>
        <v>0</v>
      </c>
    </row>
    <row r="32" spans="1:107" s="134" customFormat="1" ht="15" customHeight="1" thickBot="1">
      <c r="A32" s="64" t="s">
        <v>50</v>
      </c>
      <c r="B32" s="130" t="s">
        <v>107</v>
      </c>
      <c r="C32" s="131" t="s">
        <v>108</v>
      </c>
      <c r="D32" s="131"/>
      <c r="E32" s="131"/>
      <c r="F32" s="131"/>
      <c r="G32" s="131"/>
      <c r="H32" s="131"/>
      <c r="I32" s="133">
        <f>SUM(I39,I36,I33)</f>
        <v>0</v>
      </c>
      <c r="J32" s="133">
        <f aca="true" t="shared" si="36" ref="J32:O32">SUM(J39,J36,J33)</f>
        <v>0</v>
      </c>
      <c r="K32" s="133">
        <f t="shared" si="36"/>
        <v>847973</v>
      </c>
      <c r="L32" s="133">
        <f t="shared" si="36"/>
        <v>0</v>
      </c>
      <c r="M32" s="133">
        <f t="shared" si="36"/>
        <v>0</v>
      </c>
      <c r="N32" s="133">
        <f t="shared" si="36"/>
        <v>0</v>
      </c>
      <c r="O32" s="133">
        <f t="shared" si="36"/>
        <v>349278</v>
      </c>
      <c r="P32" s="64" t="s">
        <v>209</v>
      </c>
      <c r="Q32" s="130" t="s">
        <v>107</v>
      </c>
      <c r="R32" s="131" t="s">
        <v>108</v>
      </c>
      <c r="S32" s="131"/>
      <c r="T32" s="131"/>
      <c r="U32" s="131"/>
      <c r="V32" s="131"/>
      <c r="W32" s="218"/>
      <c r="X32" s="204">
        <f aca="true" t="shared" si="37" ref="X32:AD32">SUM(X39,X36,X33)</f>
        <v>0</v>
      </c>
      <c r="Y32" s="204">
        <f t="shared" si="37"/>
        <v>0</v>
      </c>
      <c r="Z32" s="204">
        <f t="shared" si="37"/>
        <v>0</v>
      </c>
      <c r="AA32" s="204">
        <f t="shared" si="37"/>
        <v>169</v>
      </c>
      <c r="AB32" s="204">
        <f t="shared" si="37"/>
        <v>1416</v>
      </c>
      <c r="AC32" s="204">
        <f t="shared" si="37"/>
        <v>0</v>
      </c>
      <c r="AD32" s="204">
        <f t="shared" si="37"/>
        <v>0</v>
      </c>
      <c r="AE32" s="64" t="s">
        <v>309</v>
      </c>
      <c r="AF32" s="130" t="s">
        <v>107</v>
      </c>
      <c r="AG32" s="131" t="s">
        <v>108</v>
      </c>
      <c r="AH32" s="131"/>
      <c r="AI32" s="131"/>
      <c r="AJ32" s="131"/>
      <c r="AK32" s="131"/>
      <c r="AL32" s="218"/>
      <c r="AM32" s="204">
        <f aca="true" t="shared" si="38" ref="AM32:AS32">SUM(AM39,AM36,AM33)</f>
        <v>359448</v>
      </c>
      <c r="AN32" s="204">
        <f t="shared" si="38"/>
        <v>0</v>
      </c>
      <c r="AO32" s="204">
        <f t="shared" si="38"/>
        <v>0</v>
      </c>
      <c r="AP32" s="204">
        <f t="shared" si="38"/>
        <v>0</v>
      </c>
      <c r="AQ32" s="204">
        <f t="shared" si="38"/>
        <v>0</v>
      </c>
      <c r="AR32" s="204">
        <f t="shared" si="38"/>
        <v>0</v>
      </c>
      <c r="AS32" s="204">
        <f t="shared" si="38"/>
        <v>2300</v>
      </c>
      <c r="AT32" s="64" t="s">
        <v>384</v>
      </c>
      <c r="AU32" s="130" t="s">
        <v>107</v>
      </c>
      <c r="AV32" s="131" t="s">
        <v>108</v>
      </c>
      <c r="AW32" s="131"/>
      <c r="AX32" s="131"/>
      <c r="AY32" s="131"/>
      <c r="AZ32" s="131"/>
      <c r="BA32" s="218"/>
      <c r="BB32" s="204">
        <f aca="true" t="shared" si="39" ref="BB32:BH32">SUM(BB39,BB36,BB33)</f>
        <v>0</v>
      </c>
      <c r="BC32" s="204">
        <f t="shared" si="39"/>
        <v>10278</v>
      </c>
      <c r="BD32" s="204">
        <f t="shared" si="39"/>
        <v>0</v>
      </c>
      <c r="BE32" s="204">
        <f t="shared" si="39"/>
        <v>0</v>
      </c>
      <c r="BF32" s="204">
        <f t="shared" si="39"/>
        <v>3000</v>
      </c>
      <c r="BG32" s="204">
        <f t="shared" si="39"/>
        <v>0</v>
      </c>
      <c r="BH32" s="204">
        <f t="shared" si="39"/>
        <v>0</v>
      </c>
      <c r="BI32" s="64" t="s">
        <v>457</v>
      </c>
      <c r="BJ32" s="130" t="s">
        <v>107</v>
      </c>
      <c r="BK32" s="131" t="s">
        <v>108</v>
      </c>
      <c r="BL32" s="131"/>
      <c r="BM32" s="131"/>
      <c r="BN32" s="131"/>
      <c r="BO32" s="131"/>
      <c r="BP32" s="218"/>
      <c r="BQ32" s="204">
        <f aca="true" t="shared" si="40" ref="BQ32:BW32">SUM(BQ39,BQ36,BQ33)</f>
        <v>0</v>
      </c>
      <c r="BR32" s="204">
        <f t="shared" si="40"/>
        <v>0</v>
      </c>
      <c r="BS32" s="204">
        <f t="shared" si="40"/>
        <v>0</v>
      </c>
      <c r="BT32" s="204">
        <f t="shared" si="40"/>
        <v>0</v>
      </c>
      <c r="BU32" s="204">
        <f t="shared" si="40"/>
        <v>0</v>
      </c>
      <c r="BV32" s="204">
        <f t="shared" si="40"/>
        <v>0</v>
      </c>
      <c r="BW32" s="204">
        <f t="shared" si="40"/>
        <v>0</v>
      </c>
      <c r="BX32" s="64" t="s">
        <v>721</v>
      </c>
      <c r="BY32" s="130" t="s">
        <v>107</v>
      </c>
      <c r="BZ32" s="131" t="s">
        <v>108</v>
      </c>
      <c r="CA32" s="131"/>
      <c r="CB32" s="131"/>
      <c r="CC32" s="131"/>
      <c r="CD32" s="131"/>
      <c r="CE32" s="218"/>
      <c r="CF32" s="204">
        <f aca="true" t="shared" si="41" ref="CF32:CL32">SUM(CF39,CF36,CF33)</f>
        <v>0</v>
      </c>
      <c r="CG32" s="204">
        <f t="shared" si="41"/>
        <v>0</v>
      </c>
      <c r="CH32" s="204">
        <f t="shared" si="41"/>
        <v>0</v>
      </c>
      <c r="CI32" s="204">
        <f t="shared" si="41"/>
        <v>0</v>
      </c>
      <c r="CJ32" s="204">
        <f t="shared" si="41"/>
        <v>0</v>
      </c>
      <c r="CK32" s="204">
        <f t="shared" si="41"/>
        <v>0</v>
      </c>
      <c r="CL32" s="204">
        <f t="shared" si="41"/>
        <v>0</v>
      </c>
      <c r="CM32" s="64" t="s">
        <v>795</v>
      </c>
      <c r="CN32" s="130" t="s">
        <v>107</v>
      </c>
      <c r="CO32" s="131" t="s">
        <v>108</v>
      </c>
      <c r="CP32" s="131"/>
      <c r="CQ32" s="131"/>
      <c r="CR32" s="131"/>
      <c r="CS32" s="131"/>
      <c r="CT32" s="218"/>
      <c r="CU32" s="204">
        <f aca="true" t="shared" si="42" ref="CU32:DB32">SUM(CU39,CU36,CU33)</f>
        <v>0</v>
      </c>
      <c r="CV32" s="204">
        <f t="shared" si="42"/>
        <v>0</v>
      </c>
      <c r="CW32" s="204">
        <f t="shared" si="42"/>
        <v>0</v>
      </c>
      <c r="CX32" s="204">
        <f t="shared" si="42"/>
        <v>0</v>
      </c>
      <c r="CY32" s="204">
        <f t="shared" si="42"/>
        <v>0</v>
      </c>
      <c r="CZ32" s="204">
        <f t="shared" si="42"/>
        <v>0</v>
      </c>
      <c r="DA32" s="204">
        <f>SUM(DA39,DA36,DA33)</f>
        <v>0</v>
      </c>
      <c r="DB32" s="204">
        <f t="shared" si="42"/>
        <v>0</v>
      </c>
      <c r="DC32" s="182">
        <f t="shared" si="7"/>
        <v>1573862</v>
      </c>
    </row>
    <row r="33" spans="1:107" s="134" customFormat="1" ht="15" customHeight="1" thickBot="1">
      <c r="A33" s="64" t="s">
        <v>51</v>
      </c>
      <c r="B33" s="135"/>
      <c r="C33" s="143" t="s">
        <v>109</v>
      </c>
      <c r="D33" s="145" t="s">
        <v>566</v>
      </c>
      <c r="E33" s="140"/>
      <c r="F33" s="141"/>
      <c r="G33" s="141"/>
      <c r="H33" s="141"/>
      <c r="I33" s="142">
        <f>SUM(I34:I35)</f>
        <v>0</v>
      </c>
      <c r="J33" s="142">
        <f aca="true" t="shared" si="43" ref="J33:O33">SUM(J34:J35)</f>
        <v>0</v>
      </c>
      <c r="K33" s="142">
        <f t="shared" si="43"/>
        <v>838194</v>
      </c>
      <c r="L33" s="142">
        <f t="shared" si="43"/>
        <v>0</v>
      </c>
      <c r="M33" s="142">
        <f t="shared" si="43"/>
        <v>0</v>
      </c>
      <c r="N33" s="142">
        <f t="shared" si="43"/>
        <v>0</v>
      </c>
      <c r="O33" s="142">
        <f t="shared" si="43"/>
        <v>349278</v>
      </c>
      <c r="P33" s="64" t="s">
        <v>210</v>
      </c>
      <c r="Q33" s="135"/>
      <c r="R33" s="143" t="s">
        <v>109</v>
      </c>
      <c r="S33" s="145" t="s">
        <v>566</v>
      </c>
      <c r="T33" s="140"/>
      <c r="U33" s="141"/>
      <c r="V33" s="141"/>
      <c r="W33" s="213"/>
      <c r="X33" s="205">
        <f aca="true" t="shared" si="44" ref="X33:AD33">SUM(X34:X35)</f>
        <v>0</v>
      </c>
      <c r="Y33" s="205">
        <f t="shared" si="44"/>
        <v>0</v>
      </c>
      <c r="Z33" s="205">
        <f t="shared" si="44"/>
        <v>0</v>
      </c>
      <c r="AA33" s="205">
        <f t="shared" si="44"/>
        <v>169</v>
      </c>
      <c r="AB33" s="205">
        <f t="shared" si="44"/>
        <v>1416</v>
      </c>
      <c r="AC33" s="205">
        <f t="shared" si="44"/>
        <v>0</v>
      </c>
      <c r="AD33" s="205">
        <f t="shared" si="44"/>
        <v>0</v>
      </c>
      <c r="AE33" s="64" t="s">
        <v>310</v>
      </c>
      <c r="AF33" s="135"/>
      <c r="AG33" s="143" t="s">
        <v>109</v>
      </c>
      <c r="AH33" s="145" t="s">
        <v>566</v>
      </c>
      <c r="AI33" s="140"/>
      <c r="AJ33" s="141"/>
      <c r="AK33" s="141"/>
      <c r="AL33" s="213"/>
      <c r="AM33" s="205">
        <f aca="true" t="shared" si="45" ref="AM33:AS33">SUM(AM34:AM35)</f>
        <v>359448</v>
      </c>
      <c r="AN33" s="205">
        <f t="shared" si="45"/>
        <v>0</v>
      </c>
      <c r="AO33" s="205">
        <f t="shared" si="45"/>
        <v>0</v>
      </c>
      <c r="AP33" s="205">
        <f t="shared" si="45"/>
        <v>0</v>
      </c>
      <c r="AQ33" s="205">
        <f t="shared" si="45"/>
        <v>0</v>
      </c>
      <c r="AR33" s="205">
        <f t="shared" si="45"/>
        <v>0</v>
      </c>
      <c r="AS33" s="205">
        <f t="shared" si="45"/>
        <v>0</v>
      </c>
      <c r="AT33" s="64" t="s">
        <v>385</v>
      </c>
      <c r="AU33" s="135"/>
      <c r="AV33" s="143" t="s">
        <v>109</v>
      </c>
      <c r="AW33" s="145" t="s">
        <v>566</v>
      </c>
      <c r="AX33" s="140"/>
      <c r="AY33" s="141"/>
      <c r="AZ33" s="141"/>
      <c r="BA33" s="213"/>
      <c r="BB33" s="205">
        <f aca="true" t="shared" si="46" ref="BB33:BH33">SUM(BB34:BB35)</f>
        <v>0</v>
      </c>
      <c r="BC33" s="205">
        <f t="shared" si="46"/>
        <v>10278</v>
      </c>
      <c r="BD33" s="205">
        <f t="shared" si="46"/>
        <v>0</v>
      </c>
      <c r="BE33" s="205">
        <f t="shared" si="46"/>
        <v>0</v>
      </c>
      <c r="BF33" s="205">
        <f t="shared" si="46"/>
        <v>3000</v>
      </c>
      <c r="BG33" s="205">
        <f t="shared" si="46"/>
        <v>0</v>
      </c>
      <c r="BH33" s="205">
        <f t="shared" si="46"/>
        <v>0</v>
      </c>
      <c r="BI33" s="64" t="s">
        <v>458</v>
      </c>
      <c r="BJ33" s="135"/>
      <c r="BK33" s="143" t="s">
        <v>109</v>
      </c>
      <c r="BL33" s="145" t="s">
        <v>566</v>
      </c>
      <c r="BM33" s="140"/>
      <c r="BN33" s="141"/>
      <c r="BO33" s="141"/>
      <c r="BP33" s="213"/>
      <c r="BQ33" s="205">
        <f aca="true" t="shared" si="47" ref="BQ33:BW33">SUM(BQ34:BQ35)</f>
        <v>0</v>
      </c>
      <c r="BR33" s="205">
        <f t="shared" si="47"/>
        <v>0</v>
      </c>
      <c r="BS33" s="205">
        <f t="shared" si="47"/>
        <v>0</v>
      </c>
      <c r="BT33" s="205">
        <f t="shared" si="47"/>
        <v>0</v>
      </c>
      <c r="BU33" s="205">
        <f t="shared" si="47"/>
        <v>0</v>
      </c>
      <c r="BV33" s="205">
        <f t="shared" si="47"/>
        <v>0</v>
      </c>
      <c r="BW33" s="205">
        <f t="shared" si="47"/>
        <v>0</v>
      </c>
      <c r="BX33" s="64" t="s">
        <v>722</v>
      </c>
      <c r="BY33" s="135"/>
      <c r="BZ33" s="143" t="s">
        <v>109</v>
      </c>
      <c r="CA33" s="145" t="s">
        <v>566</v>
      </c>
      <c r="CB33" s="140"/>
      <c r="CC33" s="141"/>
      <c r="CD33" s="141"/>
      <c r="CE33" s="213"/>
      <c r="CF33" s="205">
        <f aca="true" t="shared" si="48" ref="CF33:CL33">SUM(CF34:CF35)</f>
        <v>0</v>
      </c>
      <c r="CG33" s="205">
        <f t="shared" si="48"/>
        <v>0</v>
      </c>
      <c r="CH33" s="205">
        <f t="shared" si="48"/>
        <v>0</v>
      </c>
      <c r="CI33" s="205">
        <f t="shared" si="48"/>
        <v>0</v>
      </c>
      <c r="CJ33" s="205">
        <f t="shared" si="48"/>
        <v>0</v>
      </c>
      <c r="CK33" s="205">
        <f t="shared" si="48"/>
        <v>0</v>
      </c>
      <c r="CL33" s="205">
        <f t="shared" si="48"/>
        <v>0</v>
      </c>
      <c r="CM33" s="64" t="s">
        <v>796</v>
      </c>
      <c r="CN33" s="135"/>
      <c r="CO33" s="143" t="s">
        <v>109</v>
      </c>
      <c r="CP33" s="145" t="s">
        <v>566</v>
      </c>
      <c r="CQ33" s="140"/>
      <c r="CR33" s="141"/>
      <c r="CS33" s="141"/>
      <c r="CT33" s="213"/>
      <c r="CU33" s="205">
        <f aca="true" t="shared" si="49" ref="CU33:DB33">SUM(CU34:CU35)</f>
        <v>0</v>
      </c>
      <c r="CV33" s="205">
        <f t="shared" si="49"/>
        <v>0</v>
      </c>
      <c r="CW33" s="205">
        <f t="shared" si="49"/>
        <v>0</v>
      </c>
      <c r="CX33" s="205">
        <f t="shared" si="49"/>
        <v>0</v>
      </c>
      <c r="CY33" s="205">
        <f t="shared" si="49"/>
        <v>0</v>
      </c>
      <c r="CZ33" s="205">
        <f t="shared" si="49"/>
        <v>0</v>
      </c>
      <c r="DA33" s="205">
        <f>SUM(DA34:DA35)</f>
        <v>0</v>
      </c>
      <c r="DB33" s="205">
        <f t="shared" si="49"/>
        <v>0</v>
      </c>
      <c r="DC33" s="185">
        <f t="shared" si="7"/>
        <v>1561783</v>
      </c>
    </row>
    <row r="34" spans="1:107" s="110" customFormat="1" ht="15" customHeight="1" thickBot="1">
      <c r="A34" s="64" t="s">
        <v>53</v>
      </c>
      <c r="B34" s="109"/>
      <c r="C34" s="112"/>
      <c r="D34" s="95" t="s">
        <v>656</v>
      </c>
      <c r="E34" s="107" t="s">
        <v>657</v>
      </c>
      <c r="F34" s="107"/>
      <c r="G34" s="107"/>
      <c r="H34" s="107"/>
      <c r="I34" s="108"/>
      <c r="J34" s="108"/>
      <c r="K34" s="108"/>
      <c r="L34" s="108"/>
      <c r="M34" s="108"/>
      <c r="N34" s="108"/>
      <c r="O34" s="108">
        <f>348651+Javaslat!L55</f>
        <v>349278</v>
      </c>
      <c r="P34" s="64" t="s">
        <v>211</v>
      </c>
      <c r="Q34" s="109"/>
      <c r="R34" s="112"/>
      <c r="S34" s="95" t="s">
        <v>656</v>
      </c>
      <c r="T34" s="107" t="s">
        <v>657</v>
      </c>
      <c r="U34" s="107"/>
      <c r="V34" s="107"/>
      <c r="W34" s="214"/>
      <c r="X34" s="206"/>
      <c r="Y34" s="206"/>
      <c r="Z34" s="206"/>
      <c r="AA34" s="206"/>
      <c r="AB34" s="206"/>
      <c r="AC34" s="206"/>
      <c r="AD34" s="206"/>
      <c r="AE34" s="64" t="s">
        <v>311</v>
      </c>
      <c r="AF34" s="109"/>
      <c r="AG34" s="112"/>
      <c r="AH34" s="95" t="s">
        <v>656</v>
      </c>
      <c r="AI34" s="107" t="s">
        <v>657</v>
      </c>
      <c r="AJ34" s="107"/>
      <c r="AK34" s="107"/>
      <c r="AL34" s="214"/>
      <c r="AM34" s="206"/>
      <c r="AN34" s="206"/>
      <c r="AO34" s="206"/>
      <c r="AP34" s="206"/>
      <c r="AQ34" s="206"/>
      <c r="AR34" s="206"/>
      <c r="AS34" s="206"/>
      <c r="AT34" s="64" t="s">
        <v>386</v>
      </c>
      <c r="AU34" s="109"/>
      <c r="AV34" s="112"/>
      <c r="AW34" s="95" t="s">
        <v>656</v>
      </c>
      <c r="AX34" s="107" t="s">
        <v>657</v>
      </c>
      <c r="AY34" s="107"/>
      <c r="AZ34" s="107"/>
      <c r="BA34" s="214"/>
      <c r="BB34" s="206"/>
      <c r="BC34" s="206"/>
      <c r="BD34" s="206"/>
      <c r="BE34" s="206"/>
      <c r="BF34" s="206"/>
      <c r="BG34" s="206"/>
      <c r="BH34" s="206"/>
      <c r="BI34" s="64" t="s">
        <v>459</v>
      </c>
      <c r="BJ34" s="109"/>
      <c r="BK34" s="112"/>
      <c r="BL34" s="95" t="s">
        <v>656</v>
      </c>
      <c r="BM34" s="107" t="s">
        <v>657</v>
      </c>
      <c r="BN34" s="107"/>
      <c r="BO34" s="107"/>
      <c r="BP34" s="214"/>
      <c r="BQ34" s="206"/>
      <c r="BR34" s="206"/>
      <c r="BS34" s="206"/>
      <c r="BT34" s="206"/>
      <c r="BU34" s="206"/>
      <c r="BV34" s="206"/>
      <c r="BW34" s="206"/>
      <c r="BX34" s="64" t="s">
        <v>723</v>
      </c>
      <c r="BY34" s="109"/>
      <c r="BZ34" s="112"/>
      <c r="CA34" s="95" t="s">
        <v>656</v>
      </c>
      <c r="CB34" s="107" t="s">
        <v>657</v>
      </c>
      <c r="CC34" s="107"/>
      <c r="CD34" s="107"/>
      <c r="CE34" s="214"/>
      <c r="CF34" s="206"/>
      <c r="CG34" s="206"/>
      <c r="CH34" s="206"/>
      <c r="CI34" s="206"/>
      <c r="CJ34" s="206"/>
      <c r="CK34" s="206"/>
      <c r="CL34" s="206"/>
      <c r="CM34" s="64" t="s">
        <v>797</v>
      </c>
      <c r="CN34" s="109"/>
      <c r="CO34" s="112"/>
      <c r="CP34" s="95" t="s">
        <v>656</v>
      </c>
      <c r="CQ34" s="107" t="s">
        <v>657</v>
      </c>
      <c r="CR34" s="107"/>
      <c r="CS34" s="107"/>
      <c r="CT34" s="214"/>
      <c r="CU34" s="206"/>
      <c r="CV34" s="206"/>
      <c r="CW34" s="206"/>
      <c r="CX34" s="206"/>
      <c r="CY34" s="206"/>
      <c r="CZ34" s="206"/>
      <c r="DA34" s="206"/>
      <c r="DB34" s="206"/>
      <c r="DC34" s="181">
        <f t="shared" si="7"/>
        <v>349278</v>
      </c>
    </row>
    <row r="35" spans="1:107" s="110" customFormat="1" ht="15" customHeight="1" thickBot="1">
      <c r="A35" s="64" t="s">
        <v>54</v>
      </c>
      <c r="B35" s="109"/>
      <c r="C35" s="95"/>
      <c r="D35" s="95" t="s">
        <v>658</v>
      </c>
      <c r="E35" s="107" t="s">
        <v>659</v>
      </c>
      <c r="F35" s="114"/>
      <c r="G35" s="114"/>
      <c r="H35" s="107"/>
      <c r="I35" s="108"/>
      <c r="J35" s="108"/>
      <c r="K35" s="108">
        <v>838194</v>
      </c>
      <c r="L35" s="108"/>
      <c r="M35" s="108"/>
      <c r="N35" s="108"/>
      <c r="O35" s="108"/>
      <c r="P35" s="64" t="s">
        <v>212</v>
      </c>
      <c r="Q35" s="109"/>
      <c r="R35" s="95"/>
      <c r="S35" s="95" t="s">
        <v>658</v>
      </c>
      <c r="T35" s="107" t="s">
        <v>659</v>
      </c>
      <c r="U35" s="114"/>
      <c r="V35" s="114"/>
      <c r="W35" s="214"/>
      <c r="X35" s="206"/>
      <c r="Y35" s="206"/>
      <c r="Z35" s="206"/>
      <c r="AA35" s="206">
        <f>2425+Javaslat!L88</f>
        <v>169</v>
      </c>
      <c r="AB35" s="206">
        <f>Javaslat!L97</f>
        <v>1416</v>
      </c>
      <c r="AC35" s="206"/>
      <c r="AD35" s="206"/>
      <c r="AE35" s="64" t="s">
        <v>312</v>
      </c>
      <c r="AF35" s="109"/>
      <c r="AG35" s="95"/>
      <c r="AH35" s="95" t="s">
        <v>658</v>
      </c>
      <c r="AI35" s="107" t="s">
        <v>659</v>
      </c>
      <c r="AJ35" s="114"/>
      <c r="AK35" s="114"/>
      <c r="AL35" s="214"/>
      <c r="AM35" s="206">
        <v>359448</v>
      </c>
      <c r="AN35" s="206"/>
      <c r="AO35" s="206"/>
      <c r="AP35" s="206"/>
      <c r="AQ35" s="206"/>
      <c r="AR35" s="206"/>
      <c r="AS35" s="206"/>
      <c r="AT35" s="64" t="s">
        <v>387</v>
      </c>
      <c r="AU35" s="109"/>
      <c r="AV35" s="95"/>
      <c r="AW35" s="95" t="s">
        <v>658</v>
      </c>
      <c r="AX35" s="107" t="s">
        <v>659</v>
      </c>
      <c r="AY35" s="114"/>
      <c r="AZ35" s="114"/>
      <c r="BA35" s="214"/>
      <c r="BB35" s="206"/>
      <c r="BC35" s="206">
        <v>10278</v>
      </c>
      <c r="BD35" s="206"/>
      <c r="BE35" s="206"/>
      <c r="BF35" s="206">
        <v>3000</v>
      </c>
      <c r="BG35" s="206"/>
      <c r="BH35" s="206"/>
      <c r="BI35" s="64" t="s">
        <v>460</v>
      </c>
      <c r="BJ35" s="109"/>
      <c r="BK35" s="95"/>
      <c r="BL35" s="95" t="s">
        <v>658</v>
      </c>
      <c r="BM35" s="107" t="s">
        <v>659</v>
      </c>
      <c r="BN35" s="114"/>
      <c r="BO35" s="114"/>
      <c r="BP35" s="214"/>
      <c r="BQ35" s="206"/>
      <c r="BR35" s="206"/>
      <c r="BS35" s="206"/>
      <c r="BT35" s="206"/>
      <c r="BU35" s="206"/>
      <c r="BV35" s="206"/>
      <c r="BW35" s="206"/>
      <c r="BX35" s="64" t="s">
        <v>724</v>
      </c>
      <c r="BY35" s="109"/>
      <c r="BZ35" s="95"/>
      <c r="CA35" s="95" t="s">
        <v>658</v>
      </c>
      <c r="CB35" s="107" t="s">
        <v>659</v>
      </c>
      <c r="CC35" s="114"/>
      <c r="CD35" s="114"/>
      <c r="CE35" s="214"/>
      <c r="CF35" s="206"/>
      <c r="CG35" s="206"/>
      <c r="CH35" s="206"/>
      <c r="CI35" s="206"/>
      <c r="CJ35" s="206"/>
      <c r="CK35" s="206"/>
      <c r="CL35" s="206"/>
      <c r="CM35" s="64" t="s">
        <v>798</v>
      </c>
      <c r="CN35" s="109"/>
      <c r="CO35" s="95"/>
      <c r="CP35" s="95" t="s">
        <v>658</v>
      </c>
      <c r="CQ35" s="107" t="s">
        <v>659</v>
      </c>
      <c r="CR35" s="114"/>
      <c r="CS35" s="114"/>
      <c r="CT35" s="214"/>
      <c r="CU35" s="206"/>
      <c r="CV35" s="206"/>
      <c r="CW35" s="206"/>
      <c r="CX35" s="206"/>
      <c r="CY35" s="206"/>
      <c r="CZ35" s="206"/>
      <c r="DA35" s="206"/>
      <c r="DB35" s="206"/>
      <c r="DC35" s="181">
        <f t="shared" si="7"/>
        <v>1212505</v>
      </c>
    </row>
    <row r="36" spans="1:107" s="134" customFormat="1" ht="15" customHeight="1" thickBot="1">
      <c r="A36" s="64" t="s">
        <v>55</v>
      </c>
      <c r="B36" s="135"/>
      <c r="C36" s="143" t="s">
        <v>110</v>
      </c>
      <c r="D36" s="144" t="s">
        <v>108</v>
      </c>
      <c r="E36" s="137"/>
      <c r="F36" s="138"/>
      <c r="G36" s="138"/>
      <c r="H36" s="138"/>
      <c r="I36" s="139">
        <f>SUM(I37:I38)</f>
        <v>0</v>
      </c>
      <c r="J36" s="139">
        <f aca="true" t="shared" si="50" ref="J36:O36">SUM(J37:J38)</f>
        <v>0</v>
      </c>
      <c r="K36" s="139">
        <f t="shared" si="50"/>
        <v>9779</v>
      </c>
      <c r="L36" s="139">
        <f t="shared" si="50"/>
        <v>0</v>
      </c>
      <c r="M36" s="139">
        <f t="shared" si="50"/>
        <v>0</v>
      </c>
      <c r="N36" s="139">
        <f t="shared" si="50"/>
        <v>0</v>
      </c>
      <c r="O36" s="139">
        <f t="shared" si="50"/>
        <v>0</v>
      </c>
      <c r="P36" s="64" t="s">
        <v>213</v>
      </c>
      <c r="Q36" s="135"/>
      <c r="R36" s="143" t="s">
        <v>110</v>
      </c>
      <c r="S36" s="144" t="s">
        <v>108</v>
      </c>
      <c r="T36" s="137"/>
      <c r="U36" s="138"/>
      <c r="V36" s="138"/>
      <c r="W36" s="215"/>
      <c r="X36" s="207">
        <f aca="true" t="shared" si="51" ref="X36:AD36">SUM(X37:X38)</f>
        <v>0</v>
      </c>
      <c r="Y36" s="207">
        <f t="shared" si="51"/>
        <v>0</v>
      </c>
      <c r="Z36" s="207">
        <f t="shared" si="51"/>
        <v>0</v>
      </c>
      <c r="AA36" s="207">
        <f t="shared" si="51"/>
        <v>0</v>
      </c>
      <c r="AB36" s="207">
        <f t="shared" si="51"/>
        <v>0</v>
      </c>
      <c r="AC36" s="207">
        <f t="shared" si="51"/>
        <v>0</v>
      </c>
      <c r="AD36" s="207">
        <f t="shared" si="51"/>
        <v>0</v>
      </c>
      <c r="AE36" s="64" t="s">
        <v>313</v>
      </c>
      <c r="AF36" s="135"/>
      <c r="AG36" s="143" t="s">
        <v>110</v>
      </c>
      <c r="AH36" s="144" t="s">
        <v>108</v>
      </c>
      <c r="AI36" s="137"/>
      <c r="AJ36" s="138"/>
      <c r="AK36" s="138"/>
      <c r="AL36" s="215"/>
      <c r="AM36" s="207">
        <f aca="true" t="shared" si="52" ref="AM36:AS36">SUM(AM37:AM38)</f>
        <v>0</v>
      </c>
      <c r="AN36" s="207">
        <f t="shared" si="52"/>
        <v>0</v>
      </c>
      <c r="AO36" s="207">
        <f t="shared" si="52"/>
        <v>0</v>
      </c>
      <c r="AP36" s="207">
        <f t="shared" si="52"/>
        <v>0</v>
      </c>
      <c r="AQ36" s="207">
        <f t="shared" si="52"/>
        <v>0</v>
      </c>
      <c r="AR36" s="207">
        <f t="shared" si="52"/>
        <v>0</v>
      </c>
      <c r="AS36" s="207">
        <f t="shared" si="52"/>
        <v>0</v>
      </c>
      <c r="AT36" s="64" t="s">
        <v>388</v>
      </c>
      <c r="AU36" s="135"/>
      <c r="AV36" s="143" t="s">
        <v>110</v>
      </c>
      <c r="AW36" s="144" t="s">
        <v>108</v>
      </c>
      <c r="AX36" s="137"/>
      <c r="AY36" s="138"/>
      <c r="AZ36" s="138"/>
      <c r="BA36" s="215"/>
      <c r="BB36" s="207">
        <f aca="true" t="shared" si="53" ref="BB36:BH36">SUM(BB37:BB38)</f>
        <v>0</v>
      </c>
      <c r="BC36" s="207">
        <f t="shared" si="53"/>
        <v>0</v>
      </c>
      <c r="BD36" s="207">
        <f t="shared" si="53"/>
        <v>0</v>
      </c>
      <c r="BE36" s="207">
        <f t="shared" si="53"/>
        <v>0</v>
      </c>
      <c r="BF36" s="207">
        <f t="shared" si="53"/>
        <v>0</v>
      </c>
      <c r="BG36" s="207">
        <f t="shared" si="53"/>
        <v>0</v>
      </c>
      <c r="BH36" s="207">
        <f t="shared" si="53"/>
        <v>0</v>
      </c>
      <c r="BI36" s="64" t="s">
        <v>461</v>
      </c>
      <c r="BJ36" s="135"/>
      <c r="BK36" s="143" t="s">
        <v>110</v>
      </c>
      <c r="BL36" s="144" t="s">
        <v>108</v>
      </c>
      <c r="BM36" s="137"/>
      <c r="BN36" s="138"/>
      <c r="BO36" s="138"/>
      <c r="BP36" s="215"/>
      <c r="BQ36" s="207">
        <f aca="true" t="shared" si="54" ref="BQ36:BW36">SUM(BQ37:BQ38)</f>
        <v>0</v>
      </c>
      <c r="BR36" s="207">
        <f t="shared" si="54"/>
        <v>0</v>
      </c>
      <c r="BS36" s="207">
        <f t="shared" si="54"/>
        <v>0</v>
      </c>
      <c r="BT36" s="207">
        <f t="shared" si="54"/>
        <v>0</v>
      </c>
      <c r="BU36" s="207">
        <f t="shared" si="54"/>
        <v>0</v>
      </c>
      <c r="BV36" s="207">
        <f t="shared" si="54"/>
        <v>0</v>
      </c>
      <c r="BW36" s="207">
        <f t="shared" si="54"/>
        <v>0</v>
      </c>
      <c r="BX36" s="64" t="s">
        <v>725</v>
      </c>
      <c r="BY36" s="135"/>
      <c r="BZ36" s="143" t="s">
        <v>110</v>
      </c>
      <c r="CA36" s="144" t="s">
        <v>108</v>
      </c>
      <c r="CB36" s="137"/>
      <c r="CC36" s="138"/>
      <c r="CD36" s="138"/>
      <c r="CE36" s="215"/>
      <c r="CF36" s="207">
        <f aca="true" t="shared" si="55" ref="CF36:CL36">SUM(CF37:CF38)</f>
        <v>0</v>
      </c>
      <c r="CG36" s="207">
        <f t="shared" si="55"/>
        <v>0</v>
      </c>
      <c r="CH36" s="207">
        <f t="shared" si="55"/>
        <v>0</v>
      </c>
      <c r="CI36" s="207">
        <f t="shared" si="55"/>
        <v>0</v>
      </c>
      <c r="CJ36" s="207">
        <f t="shared" si="55"/>
        <v>0</v>
      </c>
      <c r="CK36" s="207">
        <f t="shared" si="55"/>
        <v>0</v>
      </c>
      <c r="CL36" s="207">
        <f t="shared" si="55"/>
        <v>0</v>
      </c>
      <c r="CM36" s="64" t="s">
        <v>799</v>
      </c>
      <c r="CN36" s="135"/>
      <c r="CO36" s="143" t="s">
        <v>110</v>
      </c>
      <c r="CP36" s="144" t="s">
        <v>108</v>
      </c>
      <c r="CQ36" s="137"/>
      <c r="CR36" s="138"/>
      <c r="CS36" s="138"/>
      <c r="CT36" s="215"/>
      <c r="CU36" s="207">
        <f aca="true" t="shared" si="56" ref="CU36:DB36">SUM(CU37:CU38)</f>
        <v>0</v>
      </c>
      <c r="CV36" s="207">
        <f t="shared" si="56"/>
        <v>0</v>
      </c>
      <c r="CW36" s="207">
        <f t="shared" si="56"/>
        <v>0</v>
      </c>
      <c r="CX36" s="207">
        <f t="shared" si="56"/>
        <v>0</v>
      </c>
      <c r="CY36" s="207">
        <f t="shared" si="56"/>
        <v>0</v>
      </c>
      <c r="CZ36" s="207">
        <f t="shared" si="56"/>
        <v>0</v>
      </c>
      <c r="DA36" s="207">
        <f>SUM(DA37:DA38)</f>
        <v>0</v>
      </c>
      <c r="DB36" s="207">
        <f t="shared" si="56"/>
        <v>0</v>
      </c>
      <c r="DC36" s="183">
        <f t="shared" si="7"/>
        <v>9779</v>
      </c>
    </row>
    <row r="37" spans="1:107" s="110" customFormat="1" ht="15" customHeight="1" thickBot="1">
      <c r="A37" s="64" t="s">
        <v>56</v>
      </c>
      <c r="B37" s="109"/>
      <c r="C37" s="112"/>
      <c r="D37" s="95" t="s">
        <v>695</v>
      </c>
      <c r="E37" s="107" t="s">
        <v>689</v>
      </c>
      <c r="F37" s="107"/>
      <c r="G37" s="107"/>
      <c r="H37" s="107"/>
      <c r="I37" s="108"/>
      <c r="J37" s="108"/>
      <c r="K37" s="108">
        <v>9779</v>
      </c>
      <c r="L37" s="108"/>
      <c r="M37" s="108"/>
      <c r="N37" s="108"/>
      <c r="O37" s="108"/>
      <c r="P37" s="64" t="s">
        <v>214</v>
      </c>
      <c r="Q37" s="109"/>
      <c r="R37" s="112"/>
      <c r="S37" s="95" t="s">
        <v>695</v>
      </c>
      <c r="T37" s="107" t="s">
        <v>689</v>
      </c>
      <c r="U37" s="107"/>
      <c r="V37" s="107"/>
      <c r="W37" s="214"/>
      <c r="X37" s="206"/>
      <c r="Y37" s="206"/>
      <c r="Z37" s="206"/>
      <c r="AA37" s="206"/>
      <c r="AB37" s="206"/>
      <c r="AC37" s="206"/>
      <c r="AD37" s="206"/>
      <c r="AE37" s="64" t="s">
        <v>314</v>
      </c>
      <c r="AF37" s="109"/>
      <c r="AG37" s="112"/>
      <c r="AH37" s="95" t="s">
        <v>695</v>
      </c>
      <c r="AI37" s="107" t="s">
        <v>689</v>
      </c>
      <c r="AJ37" s="107"/>
      <c r="AK37" s="107"/>
      <c r="AL37" s="214"/>
      <c r="AM37" s="206"/>
      <c r="AN37" s="206"/>
      <c r="AO37" s="206"/>
      <c r="AP37" s="206"/>
      <c r="AQ37" s="206"/>
      <c r="AR37" s="206"/>
      <c r="AS37" s="206"/>
      <c r="AT37" s="64" t="s">
        <v>389</v>
      </c>
      <c r="AU37" s="109"/>
      <c r="AV37" s="112"/>
      <c r="AW37" s="95" t="s">
        <v>695</v>
      </c>
      <c r="AX37" s="107" t="s">
        <v>689</v>
      </c>
      <c r="AY37" s="107"/>
      <c r="AZ37" s="107"/>
      <c r="BA37" s="214"/>
      <c r="BB37" s="206"/>
      <c r="BC37" s="206"/>
      <c r="BD37" s="206"/>
      <c r="BE37" s="206"/>
      <c r="BF37" s="206"/>
      <c r="BG37" s="206"/>
      <c r="BH37" s="206"/>
      <c r="BI37" s="64" t="s">
        <v>462</v>
      </c>
      <c r="BJ37" s="109"/>
      <c r="BK37" s="112"/>
      <c r="BL37" s="95" t="s">
        <v>695</v>
      </c>
      <c r="BM37" s="107" t="s">
        <v>689</v>
      </c>
      <c r="BN37" s="107"/>
      <c r="BO37" s="107"/>
      <c r="BP37" s="214"/>
      <c r="BQ37" s="206"/>
      <c r="BR37" s="206"/>
      <c r="BS37" s="206"/>
      <c r="BT37" s="206"/>
      <c r="BU37" s="206"/>
      <c r="BV37" s="206"/>
      <c r="BW37" s="206"/>
      <c r="BX37" s="64" t="s">
        <v>726</v>
      </c>
      <c r="BY37" s="109"/>
      <c r="BZ37" s="112"/>
      <c r="CA37" s="95" t="s">
        <v>695</v>
      </c>
      <c r="CB37" s="107" t="s">
        <v>689</v>
      </c>
      <c r="CC37" s="107"/>
      <c r="CD37" s="107"/>
      <c r="CE37" s="214"/>
      <c r="CF37" s="206"/>
      <c r="CG37" s="206"/>
      <c r="CH37" s="206"/>
      <c r="CI37" s="206"/>
      <c r="CJ37" s="206"/>
      <c r="CK37" s="206"/>
      <c r="CL37" s="206"/>
      <c r="CM37" s="64" t="s">
        <v>800</v>
      </c>
      <c r="CN37" s="109"/>
      <c r="CO37" s="112"/>
      <c r="CP37" s="95" t="s">
        <v>695</v>
      </c>
      <c r="CQ37" s="107" t="s">
        <v>689</v>
      </c>
      <c r="CR37" s="107"/>
      <c r="CS37" s="107"/>
      <c r="CT37" s="214"/>
      <c r="CU37" s="206"/>
      <c r="CV37" s="206"/>
      <c r="CW37" s="206"/>
      <c r="CX37" s="206"/>
      <c r="CY37" s="206"/>
      <c r="CZ37" s="206"/>
      <c r="DA37" s="206"/>
      <c r="DB37" s="206"/>
      <c r="DC37" s="181">
        <f t="shared" si="7"/>
        <v>9779</v>
      </c>
    </row>
    <row r="38" spans="1:107" s="110" customFormat="1" ht="15" customHeight="1" thickBot="1">
      <c r="A38" s="64" t="s">
        <v>57</v>
      </c>
      <c r="B38" s="109"/>
      <c r="C38" s="112"/>
      <c r="D38" s="95" t="s">
        <v>696</v>
      </c>
      <c r="E38" s="107" t="s">
        <v>690</v>
      </c>
      <c r="F38" s="97"/>
      <c r="G38" s="97"/>
      <c r="H38" s="97"/>
      <c r="I38" s="108"/>
      <c r="J38" s="108"/>
      <c r="K38" s="108"/>
      <c r="L38" s="108"/>
      <c r="M38" s="108"/>
      <c r="N38" s="108"/>
      <c r="O38" s="108"/>
      <c r="P38" s="64" t="s">
        <v>215</v>
      </c>
      <c r="Q38" s="109"/>
      <c r="R38" s="112"/>
      <c r="S38" s="95" t="s">
        <v>696</v>
      </c>
      <c r="T38" s="107" t="s">
        <v>690</v>
      </c>
      <c r="U38" s="97"/>
      <c r="V38" s="97"/>
      <c r="W38" s="117"/>
      <c r="X38" s="206"/>
      <c r="Y38" s="206"/>
      <c r="Z38" s="206"/>
      <c r="AA38" s="206"/>
      <c r="AB38" s="206"/>
      <c r="AC38" s="206"/>
      <c r="AD38" s="206"/>
      <c r="AE38" s="64" t="s">
        <v>315</v>
      </c>
      <c r="AF38" s="109"/>
      <c r="AG38" s="112"/>
      <c r="AH38" s="95" t="s">
        <v>696</v>
      </c>
      <c r="AI38" s="107" t="s">
        <v>690</v>
      </c>
      <c r="AJ38" s="97"/>
      <c r="AK38" s="97"/>
      <c r="AL38" s="117"/>
      <c r="AM38" s="206"/>
      <c r="AN38" s="206"/>
      <c r="AO38" s="206"/>
      <c r="AP38" s="206"/>
      <c r="AQ38" s="206"/>
      <c r="AR38" s="206"/>
      <c r="AS38" s="206"/>
      <c r="AT38" s="64" t="s">
        <v>390</v>
      </c>
      <c r="AU38" s="109"/>
      <c r="AV38" s="112"/>
      <c r="AW38" s="95" t="s">
        <v>696</v>
      </c>
      <c r="AX38" s="107" t="s">
        <v>690</v>
      </c>
      <c r="AY38" s="97"/>
      <c r="AZ38" s="97"/>
      <c r="BA38" s="117"/>
      <c r="BB38" s="206"/>
      <c r="BC38" s="206"/>
      <c r="BD38" s="206"/>
      <c r="BE38" s="206"/>
      <c r="BF38" s="206"/>
      <c r="BG38" s="206"/>
      <c r="BH38" s="206"/>
      <c r="BI38" s="64" t="s">
        <v>463</v>
      </c>
      <c r="BJ38" s="109"/>
      <c r="BK38" s="112"/>
      <c r="BL38" s="95" t="s">
        <v>696</v>
      </c>
      <c r="BM38" s="107" t="s">
        <v>690</v>
      </c>
      <c r="BN38" s="97"/>
      <c r="BO38" s="97"/>
      <c r="BP38" s="117"/>
      <c r="BQ38" s="206"/>
      <c r="BR38" s="206"/>
      <c r="BS38" s="206"/>
      <c r="BT38" s="206"/>
      <c r="BU38" s="206"/>
      <c r="BV38" s="206"/>
      <c r="BW38" s="206"/>
      <c r="BX38" s="64" t="s">
        <v>727</v>
      </c>
      <c r="BY38" s="109"/>
      <c r="BZ38" s="112"/>
      <c r="CA38" s="95" t="s">
        <v>696</v>
      </c>
      <c r="CB38" s="107" t="s">
        <v>690</v>
      </c>
      <c r="CC38" s="97"/>
      <c r="CD38" s="97"/>
      <c r="CE38" s="117"/>
      <c r="CF38" s="206"/>
      <c r="CG38" s="206"/>
      <c r="CH38" s="206"/>
      <c r="CI38" s="206"/>
      <c r="CJ38" s="206"/>
      <c r="CK38" s="206"/>
      <c r="CL38" s="206"/>
      <c r="CM38" s="64" t="s">
        <v>801</v>
      </c>
      <c r="CN38" s="109"/>
      <c r="CO38" s="112"/>
      <c r="CP38" s="95" t="s">
        <v>696</v>
      </c>
      <c r="CQ38" s="107" t="s">
        <v>690</v>
      </c>
      <c r="CR38" s="97"/>
      <c r="CS38" s="97"/>
      <c r="CT38" s="117"/>
      <c r="CU38" s="206"/>
      <c r="CV38" s="206"/>
      <c r="CW38" s="206"/>
      <c r="CX38" s="206"/>
      <c r="CY38" s="206"/>
      <c r="CZ38" s="206"/>
      <c r="DA38" s="206"/>
      <c r="DB38" s="206"/>
      <c r="DC38" s="181">
        <f t="shared" si="7"/>
        <v>0</v>
      </c>
    </row>
    <row r="39" spans="1:107" s="134" customFormat="1" ht="15" customHeight="1" thickBot="1">
      <c r="A39" s="64" t="s">
        <v>58</v>
      </c>
      <c r="B39" s="135"/>
      <c r="C39" s="143" t="s">
        <v>111</v>
      </c>
      <c r="D39" s="140" t="s">
        <v>567</v>
      </c>
      <c r="E39" s="146"/>
      <c r="F39" s="141"/>
      <c r="G39" s="141"/>
      <c r="H39" s="141"/>
      <c r="I39" s="142">
        <f>SUM(I40)</f>
        <v>0</v>
      </c>
      <c r="J39" s="142">
        <f aca="true" t="shared" si="57" ref="J39:O39">SUM(J40)</f>
        <v>0</v>
      </c>
      <c r="K39" s="142">
        <f t="shared" si="57"/>
        <v>0</v>
      </c>
      <c r="L39" s="142">
        <f t="shared" si="57"/>
        <v>0</v>
      </c>
      <c r="M39" s="142">
        <f t="shared" si="57"/>
        <v>0</v>
      </c>
      <c r="N39" s="142">
        <f t="shared" si="57"/>
        <v>0</v>
      </c>
      <c r="O39" s="142">
        <f t="shared" si="57"/>
        <v>0</v>
      </c>
      <c r="P39" s="64" t="s">
        <v>242</v>
      </c>
      <c r="Q39" s="135"/>
      <c r="R39" s="143" t="s">
        <v>111</v>
      </c>
      <c r="S39" s="140" t="s">
        <v>567</v>
      </c>
      <c r="T39" s="146"/>
      <c r="U39" s="141"/>
      <c r="V39" s="141"/>
      <c r="W39" s="213"/>
      <c r="X39" s="205">
        <f aca="true" t="shared" si="58" ref="X39:AD39">SUM(X40)</f>
        <v>0</v>
      </c>
      <c r="Y39" s="205">
        <f t="shared" si="58"/>
        <v>0</v>
      </c>
      <c r="Z39" s="205">
        <f t="shared" si="58"/>
        <v>0</v>
      </c>
      <c r="AA39" s="205">
        <f t="shared" si="58"/>
        <v>0</v>
      </c>
      <c r="AB39" s="205">
        <f t="shared" si="58"/>
        <v>0</v>
      </c>
      <c r="AC39" s="205">
        <f t="shared" si="58"/>
        <v>0</v>
      </c>
      <c r="AD39" s="205">
        <f t="shared" si="58"/>
        <v>0</v>
      </c>
      <c r="AE39" s="64" t="s">
        <v>316</v>
      </c>
      <c r="AF39" s="135"/>
      <c r="AG39" s="143" t="s">
        <v>111</v>
      </c>
      <c r="AH39" s="140" t="s">
        <v>567</v>
      </c>
      <c r="AI39" s="146"/>
      <c r="AJ39" s="141"/>
      <c r="AK39" s="141"/>
      <c r="AL39" s="213"/>
      <c r="AM39" s="205">
        <f aca="true" t="shared" si="59" ref="AM39:AS39">SUM(AM40)</f>
        <v>0</v>
      </c>
      <c r="AN39" s="205">
        <f t="shared" si="59"/>
        <v>0</v>
      </c>
      <c r="AO39" s="205">
        <f t="shared" si="59"/>
        <v>0</v>
      </c>
      <c r="AP39" s="205">
        <f t="shared" si="59"/>
        <v>0</v>
      </c>
      <c r="AQ39" s="205">
        <f t="shared" si="59"/>
        <v>0</v>
      </c>
      <c r="AR39" s="205">
        <f t="shared" si="59"/>
        <v>0</v>
      </c>
      <c r="AS39" s="205">
        <f t="shared" si="59"/>
        <v>2300</v>
      </c>
      <c r="AT39" s="64" t="s">
        <v>391</v>
      </c>
      <c r="AU39" s="135"/>
      <c r="AV39" s="143" t="s">
        <v>111</v>
      </c>
      <c r="AW39" s="140" t="s">
        <v>567</v>
      </c>
      <c r="AX39" s="146"/>
      <c r="AY39" s="141"/>
      <c r="AZ39" s="141"/>
      <c r="BA39" s="213"/>
      <c r="BB39" s="205">
        <f aca="true" t="shared" si="60" ref="BB39:BH39">SUM(BB40)</f>
        <v>0</v>
      </c>
      <c r="BC39" s="205">
        <f t="shared" si="60"/>
        <v>0</v>
      </c>
      <c r="BD39" s="205">
        <f t="shared" si="60"/>
        <v>0</v>
      </c>
      <c r="BE39" s="205">
        <f t="shared" si="60"/>
        <v>0</v>
      </c>
      <c r="BF39" s="205">
        <f t="shared" si="60"/>
        <v>0</v>
      </c>
      <c r="BG39" s="205">
        <f t="shared" si="60"/>
        <v>0</v>
      </c>
      <c r="BH39" s="205">
        <f t="shared" si="60"/>
        <v>0</v>
      </c>
      <c r="BI39" s="64" t="s">
        <v>464</v>
      </c>
      <c r="BJ39" s="135"/>
      <c r="BK39" s="143" t="s">
        <v>111</v>
      </c>
      <c r="BL39" s="140" t="s">
        <v>567</v>
      </c>
      <c r="BM39" s="146"/>
      <c r="BN39" s="141"/>
      <c r="BO39" s="141"/>
      <c r="BP39" s="213"/>
      <c r="BQ39" s="205">
        <f aca="true" t="shared" si="61" ref="BQ39:BW39">SUM(BQ40)</f>
        <v>0</v>
      </c>
      <c r="BR39" s="205">
        <f t="shared" si="61"/>
        <v>0</v>
      </c>
      <c r="BS39" s="205">
        <f t="shared" si="61"/>
        <v>0</v>
      </c>
      <c r="BT39" s="205">
        <f t="shared" si="61"/>
        <v>0</v>
      </c>
      <c r="BU39" s="205">
        <f t="shared" si="61"/>
        <v>0</v>
      </c>
      <c r="BV39" s="205">
        <f t="shared" si="61"/>
        <v>0</v>
      </c>
      <c r="BW39" s="205">
        <f t="shared" si="61"/>
        <v>0</v>
      </c>
      <c r="BX39" s="64" t="s">
        <v>728</v>
      </c>
      <c r="BY39" s="135"/>
      <c r="BZ39" s="143" t="s">
        <v>111</v>
      </c>
      <c r="CA39" s="140" t="s">
        <v>567</v>
      </c>
      <c r="CB39" s="146"/>
      <c r="CC39" s="141"/>
      <c r="CD39" s="141"/>
      <c r="CE39" s="213"/>
      <c r="CF39" s="205">
        <f aca="true" t="shared" si="62" ref="CF39:CL39">SUM(CF40)</f>
        <v>0</v>
      </c>
      <c r="CG39" s="205">
        <f t="shared" si="62"/>
        <v>0</v>
      </c>
      <c r="CH39" s="205">
        <f t="shared" si="62"/>
        <v>0</v>
      </c>
      <c r="CI39" s="205">
        <f t="shared" si="62"/>
        <v>0</v>
      </c>
      <c r="CJ39" s="205">
        <f t="shared" si="62"/>
        <v>0</v>
      </c>
      <c r="CK39" s="205">
        <f t="shared" si="62"/>
        <v>0</v>
      </c>
      <c r="CL39" s="205">
        <f t="shared" si="62"/>
        <v>0</v>
      </c>
      <c r="CM39" s="64" t="s">
        <v>802</v>
      </c>
      <c r="CN39" s="135"/>
      <c r="CO39" s="143" t="s">
        <v>111</v>
      </c>
      <c r="CP39" s="140" t="s">
        <v>567</v>
      </c>
      <c r="CQ39" s="146"/>
      <c r="CR39" s="141"/>
      <c r="CS39" s="141"/>
      <c r="CT39" s="213"/>
      <c r="CU39" s="205">
        <f aca="true" t="shared" si="63" ref="CU39:DB39">SUM(CU40)</f>
        <v>0</v>
      </c>
      <c r="CV39" s="205">
        <f t="shared" si="63"/>
        <v>0</v>
      </c>
      <c r="CW39" s="205">
        <f t="shared" si="63"/>
        <v>0</v>
      </c>
      <c r="CX39" s="205">
        <f t="shared" si="63"/>
        <v>0</v>
      </c>
      <c r="CY39" s="205">
        <f t="shared" si="63"/>
        <v>0</v>
      </c>
      <c r="CZ39" s="205">
        <f t="shared" si="63"/>
        <v>0</v>
      </c>
      <c r="DA39" s="205">
        <f t="shared" si="63"/>
        <v>0</v>
      </c>
      <c r="DB39" s="205">
        <f t="shared" si="63"/>
        <v>0</v>
      </c>
      <c r="DC39" s="185">
        <f t="shared" si="7"/>
        <v>2300</v>
      </c>
    </row>
    <row r="40" spans="1:107" s="110" customFormat="1" ht="15" customHeight="1" thickBot="1">
      <c r="A40" s="64" t="s">
        <v>59</v>
      </c>
      <c r="B40" s="109"/>
      <c r="C40" s="112"/>
      <c r="D40" s="95" t="s">
        <v>697</v>
      </c>
      <c r="E40" s="97" t="s">
        <v>568</v>
      </c>
      <c r="F40" s="97"/>
      <c r="G40" s="97"/>
      <c r="H40" s="97"/>
      <c r="I40" s="99"/>
      <c r="J40" s="99"/>
      <c r="K40" s="99"/>
      <c r="L40" s="99"/>
      <c r="M40" s="99"/>
      <c r="N40" s="99"/>
      <c r="O40" s="99"/>
      <c r="P40" s="64" t="s">
        <v>243</v>
      </c>
      <c r="Q40" s="109"/>
      <c r="R40" s="112"/>
      <c r="S40" s="95" t="s">
        <v>697</v>
      </c>
      <c r="T40" s="97" t="s">
        <v>568</v>
      </c>
      <c r="U40" s="97"/>
      <c r="V40" s="97"/>
      <c r="W40" s="117"/>
      <c r="X40" s="208"/>
      <c r="Y40" s="208"/>
      <c r="Z40" s="208"/>
      <c r="AA40" s="208"/>
      <c r="AB40" s="208"/>
      <c r="AC40" s="208"/>
      <c r="AD40" s="208"/>
      <c r="AE40" s="64" t="s">
        <v>317</v>
      </c>
      <c r="AF40" s="109"/>
      <c r="AG40" s="112"/>
      <c r="AH40" s="95" t="s">
        <v>697</v>
      </c>
      <c r="AI40" s="97" t="s">
        <v>568</v>
      </c>
      <c r="AJ40" s="97"/>
      <c r="AK40" s="97"/>
      <c r="AL40" s="117"/>
      <c r="AM40" s="208"/>
      <c r="AN40" s="208"/>
      <c r="AO40" s="208"/>
      <c r="AP40" s="208"/>
      <c r="AQ40" s="208"/>
      <c r="AR40" s="208"/>
      <c r="AS40" s="208">
        <v>2300</v>
      </c>
      <c r="AT40" s="64" t="s">
        <v>392</v>
      </c>
      <c r="AU40" s="109"/>
      <c r="AV40" s="112"/>
      <c r="AW40" s="95" t="s">
        <v>697</v>
      </c>
      <c r="AX40" s="97" t="s">
        <v>568</v>
      </c>
      <c r="AY40" s="97"/>
      <c r="AZ40" s="97"/>
      <c r="BA40" s="117"/>
      <c r="BB40" s="208"/>
      <c r="BC40" s="208"/>
      <c r="BD40" s="208"/>
      <c r="BE40" s="208"/>
      <c r="BF40" s="208"/>
      <c r="BG40" s="208"/>
      <c r="BH40" s="208"/>
      <c r="BI40" s="64" t="s">
        <v>465</v>
      </c>
      <c r="BJ40" s="109"/>
      <c r="BK40" s="112"/>
      <c r="BL40" s="95" t="s">
        <v>697</v>
      </c>
      <c r="BM40" s="97" t="s">
        <v>568</v>
      </c>
      <c r="BN40" s="97"/>
      <c r="BO40" s="97"/>
      <c r="BP40" s="117"/>
      <c r="BQ40" s="208"/>
      <c r="BR40" s="208"/>
      <c r="BS40" s="208"/>
      <c r="BT40" s="208"/>
      <c r="BU40" s="208"/>
      <c r="BV40" s="208"/>
      <c r="BW40" s="208"/>
      <c r="BX40" s="64" t="s">
        <v>729</v>
      </c>
      <c r="BY40" s="109"/>
      <c r="BZ40" s="112"/>
      <c r="CA40" s="95" t="s">
        <v>697</v>
      </c>
      <c r="CB40" s="97" t="s">
        <v>568</v>
      </c>
      <c r="CC40" s="97"/>
      <c r="CD40" s="97"/>
      <c r="CE40" s="117"/>
      <c r="CF40" s="208"/>
      <c r="CG40" s="208"/>
      <c r="CH40" s="208"/>
      <c r="CI40" s="208"/>
      <c r="CJ40" s="208"/>
      <c r="CK40" s="208"/>
      <c r="CL40" s="208"/>
      <c r="CM40" s="64" t="s">
        <v>803</v>
      </c>
      <c r="CN40" s="109"/>
      <c r="CO40" s="112"/>
      <c r="CP40" s="95" t="s">
        <v>697</v>
      </c>
      <c r="CQ40" s="97" t="s">
        <v>568</v>
      </c>
      <c r="CR40" s="97"/>
      <c r="CS40" s="97"/>
      <c r="CT40" s="117"/>
      <c r="CU40" s="208"/>
      <c r="CV40" s="208"/>
      <c r="CW40" s="208"/>
      <c r="CX40" s="208"/>
      <c r="CY40" s="208"/>
      <c r="CZ40" s="208"/>
      <c r="DA40" s="208"/>
      <c r="DB40" s="208"/>
      <c r="DC40" s="100">
        <f t="shared" si="7"/>
        <v>2300</v>
      </c>
    </row>
    <row r="41" spans="1:107" s="134" customFormat="1" ht="30" customHeight="1" thickBot="1">
      <c r="A41" s="64" t="s">
        <v>60</v>
      </c>
      <c r="B41" s="361" t="s">
        <v>591</v>
      </c>
      <c r="C41" s="362"/>
      <c r="D41" s="362"/>
      <c r="E41" s="362"/>
      <c r="F41" s="362"/>
      <c r="G41" s="362"/>
      <c r="H41" s="362"/>
      <c r="I41" s="147">
        <f>SUM(I7,I32)</f>
        <v>54674</v>
      </c>
      <c r="J41" s="147">
        <f aca="true" t="shared" si="64" ref="J41:O41">SUM(J7,J32)</f>
        <v>0</v>
      </c>
      <c r="K41" s="147">
        <f t="shared" si="64"/>
        <v>924327</v>
      </c>
      <c r="L41" s="147">
        <f t="shared" si="64"/>
        <v>7000</v>
      </c>
      <c r="M41" s="147">
        <f t="shared" si="64"/>
        <v>0</v>
      </c>
      <c r="N41" s="147">
        <f t="shared" si="64"/>
        <v>17500</v>
      </c>
      <c r="O41" s="147">
        <f t="shared" si="64"/>
        <v>3244443</v>
      </c>
      <c r="P41" s="64" t="s">
        <v>244</v>
      </c>
      <c r="Q41" s="361" t="s">
        <v>591</v>
      </c>
      <c r="R41" s="362"/>
      <c r="S41" s="362"/>
      <c r="T41" s="362"/>
      <c r="U41" s="362"/>
      <c r="V41" s="362"/>
      <c r="W41" s="369"/>
      <c r="X41" s="209">
        <f>SUM(X7,X32)</f>
        <v>0</v>
      </c>
      <c r="Y41" s="209">
        <f aca="true" t="shared" si="65" ref="Y41:AD41">SUM(Y7,Y32)</f>
        <v>0</v>
      </c>
      <c r="Z41" s="209">
        <f t="shared" si="65"/>
        <v>0</v>
      </c>
      <c r="AA41" s="209">
        <f t="shared" si="65"/>
        <v>28549</v>
      </c>
      <c r="AB41" s="209">
        <f t="shared" si="65"/>
        <v>42492</v>
      </c>
      <c r="AC41" s="209">
        <f t="shared" si="65"/>
        <v>0</v>
      </c>
      <c r="AD41" s="209">
        <f t="shared" si="65"/>
        <v>0</v>
      </c>
      <c r="AE41" s="64" t="s">
        <v>318</v>
      </c>
      <c r="AF41" s="361" t="s">
        <v>591</v>
      </c>
      <c r="AG41" s="362"/>
      <c r="AH41" s="362"/>
      <c r="AI41" s="362"/>
      <c r="AJ41" s="362"/>
      <c r="AK41" s="362"/>
      <c r="AL41" s="369"/>
      <c r="AM41" s="209">
        <f>SUM(AM7,AM32)</f>
        <v>359948</v>
      </c>
      <c r="AN41" s="209">
        <f aca="true" t="shared" si="66" ref="AN41:AS41">SUM(AN7,AN32)</f>
        <v>0</v>
      </c>
      <c r="AO41" s="209">
        <f t="shared" si="66"/>
        <v>11675</v>
      </c>
      <c r="AP41" s="209">
        <f t="shared" si="66"/>
        <v>5000</v>
      </c>
      <c r="AQ41" s="209">
        <f t="shared" si="66"/>
        <v>0</v>
      </c>
      <c r="AR41" s="209">
        <f t="shared" si="66"/>
        <v>9081</v>
      </c>
      <c r="AS41" s="209">
        <f t="shared" si="66"/>
        <v>2300</v>
      </c>
      <c r="AT41" s="64" t="s">
        <v>393</v>
      </c>
      <c r="AU41" s="361" t="s">
        <v>591</v>
      </c>
      <c r="AV41" s="362"/>
      <c r="AW41" s="362"/>
      <c r="AX41" s="362"/>
      <c r="AY41" s="362"/>
      <c r="AZ41" s="362"/>
      <c r="BA41" s="369"/>
      <c r="BB41" s="209">
        <f>SUM(BB7,BB32)</f>
        <v>0</v>
      </c>
      <c r="BC41" s="209">
        <f aca="true" t="shared" si="67" ref="BC41:BH41">SUM(BC7,BC32)</f>
        <v>10278</v>
      </c>
      <c r="BD41" s="209">
        <f t="shared" si="67"/>
        <v>24500</v>
      </c>
      <c r="BE41" s="209">
        <f t="shared" si="67"/>
        <v>0</v>
      </c>
      <c r="BF41" s="209">
        <f t="shared" si="67"/>
        <v>3000</v>
      </c>
      <c r="BG41" s="209">
        <f t="shared" si="67"/>
        <v>0</v>
      </c>
      <c r="BH41" s="209">
        <f t="shared" si="67"/>
        <v>0</v>
      </c>
      <c r="BI41" s="64" t="s">
        <v>466</v>
      </c>
      <c r="BJ41" s="361" t="s">
        <v>591</v>
      </c>
      <c r="BK41" s="362"/>
      <c r="BL41" s="362"/>
      <c r="BM41" s="362"/>
      <c r="BN41" s="362"/>
      <c r="BO41" s="362"/>
      <c r="BP41" s="369"/>
      <c r="BQ41" s="209">
        <f>SUM(BQ7,BQ32)</f>
        <v>0</v>
      </c>
      <c r="BR41" s="209">
        <f aca="true" t="shared" si="68" ref="BR41:BW41">SUM(BR7,BR32)</f>
        <v>26940</v>
      </c>
      <c r="BS41" s="209">
        <f t="shared" si="68"/>
        <v>11256</v>
      </c>
      <c r="BT41" s="209">
        <f t="shared" si="68"/>
        <v>240</v>
      </c>
      <c r="BU41" s="209">
        <f t="shared" si="68"/>
        <v>0</v>
      </c>
      <c r="BV41" s="209">
        <f t="shared" si="68"/>
        <v>0</v>
      </c>
      <c r="BW41" s="209">
        <f t="shared" si="68"/>
        <v>396</v>
      </c>
      <c r="BX41" s="64" t="s">
        <v>730</v>
      </c>
      <c r="BY41" s="361" t="s">
        <v>591</v>
      </c>
      <c r="BZ41" s="362"/>
      <c r="CA41" s="362"/>
      <c r="CB41" s="362"/>
      <c r="CC41" s="362"/>
      <c r="CD41" s="362"/>
      <c r="CE41" s="369"/>
      <c r="CF41" s="209">
        <f>SUM(CF7,CF32)</f>
        <v>0</v>
      </c>
      <c r="CG41" s="209">
        <f aca="true" t="shared" si="69" ref="CG41:CL41">SUM(CG7,CG32)</f>
        <v>0</v>
      </c>
      <c r="CH41" s="209">
        <f t="shared" si="69"/>
        <v>0</v>
      </c>
      <c r="CI41" s="209">
        <f t="shared" si="69"/>
        <v>0</v>
      </c>
      <c r="CJ41" s="209">
        <f t="shared" si="69"/>
        <v>0</v>
      </c>
      <c r="CK41" s="209">
        <f t="shared" si="69"/>
        <v>0</v>
      </c>
      <c r="CL41" s="209">
        <f t="shared" si="69"/>
        <v>0</v>
      </c>
      <c r="CM41" s="64" t="s">
        <v>804</v>
      </c>
      <c r="CN41" s="361" t="s">
        <v>962</v>
      </c>
      <c r="CO41" s="362"/>
      <c r="CP41" s="362"/>
      <c r="CQ41" s="362"/>
      <c r="CR41" s="362"/>
      <c r="CS41" s="362"/>
      <c r="CT41" s="369"/>
      <c r="CU41" s="209">
        <f>SUM(CU7,CU32)</f>
        <v>0</v>
      </c>
      <c r="CV41" s="209">
        <f aca="true" t="shared" si="70" ref="CV41:DB41">SUM(CV7,CV32)</f>
        <v>0</v>
      </c>
      <c r="CW41" s="209">
        <f t="shared" si="70"/>
        <v>0</v>
      </c>
      <c r="CX41" s="209">
        <f t="shared" si="70"/>
        <v>499</v>
      </c>
      <c r="CY41" s="209">
        <f>SUM(CY7,CY32)</f>
        <v>0</v>
      </c>
      <c r="CZ41" s="209">
        <f t="shared" si="70"/>
        <v>300</v>
      </c>
      <c r="DA41" s="209">
        <f>SUM(DA7,DA32)</f>
        <v>0</v>
      </c>
      <c r="DB41" s="209">
        <f t="shared" si="70"/>
        <v>0</v>
      </c>
      <c r="DC41" s="184">
        <f t="shared" si="7"/>
        <v>4784398</v>
      </c>
    </row>
    <row r="42" spans="1:107" s="149" customFormat="1" ht="15" customHeight="1" thickBot="1">
      <c r="A42" s="64" t="s">
        <v>61</v>
      </c>
      <c r="B42" s="130" t="s">
        <v>112</v>
      </c>
      <c r="C42" s="363" t="s">
        <v>569</v>
      </c>
      <c r="D42" s="363"/>
      <c r="E42" s="363"/>
      <c r="F42" s="363"/>
      <c r="G42" s="363"/>
      <c r="H42" s="363"/>
      <c r="I42" s="133">
        <f>SUM(I43,I45,I48)</f>
        <v>0</v>
      </c>
      <c r="J42" s="133">
        <f aca="true" t="shared" si="71" ref="J42:O42">SUM(J43,J45,J48)</f>
        <v>0</v>
      </c>
      <c r="K42" s="133">
        <f t="shared" si="71"/>
        <v>0</v>
      </c>
      <c r="L42" s="133">
        <f t="shared" si="71"/>
        <v>0</v>
      </c>
      <c r="M42" s="133">
        <f t="shared" si="71"/>
        <v>0</v>
      </c>
      <c r="N42" s="133">
        <f t="shared" si="71"/>
        <v>0</v>
      </c>
      <c r="O42" s="133">
        <f t="shared" si="71"/>
        <v>0</v>
      </c>
      <c r="P42" s="64" t="s">
        <v>245</v>
      </c>
      <c r="Q42" s="130" t="s">
        <v>112</v>
      </c>
      <c r="R42" s="363" t="s">
        <v>569</v>
      </c>
      <c r="S42" s="363"/>
      <c r="T42" s="363"/>
      <c r="U42" s="363"/>
      <c r="V42" s="363"/>
      <c r="W42" s="370"/>
      <c r="X42" s="204">
        <f aca="true" t="shared" si="72" ref="X42:AD42">SUM(X43,X45,X48)</f>
        <v>0</v>
      </c>
      <c r="Y42" s="204">
        <f t="shared" si="72"/>
        <v>609105</v>
      </c>
      <c r="Z42" s="204">
        <f t="shared" si="72"/>
        <v>0</v>
      </c>
      <c r="AA42" s="204">
        <f t="shared" si="72"/>
        <v>0</v>
      </c>
      <c r="AB42" s="204">
        <f t="shared" si="72"/>
        <v>0</v>
      </c>
      <c r="AC42" s="204">
        <f t="shared" si="72"/>
        <v>0</v>
      </c>
      <c r="AD42" s="204">
        <f t="shared" si="72"/>
        <v>0</v>
      </c>
      <c r="AE42" s="64" t="s">
        <v>319</v>
      </c>
      <c r="AF42" s="130" t="s">
        <v>112</v>
      </c>
      <c r="AG42" s="363" t="s">
        <v>569</v>
      </c>
      <c r="AH42" s="363"/>
      <c r="AI42" s="363"/>
      <c r="AJ42" s="363"/>
      <c r="AK42" s="363"/>
      <c r="AL42" s="370"/>
      <c r="AM42" s="204">
        <f aca="true" t="shared" si="73" ref="AM42:AS42">SUM(AM43,AM45,AM48)</f>
        <v>0</v>
      </c>
      <c r="AN42" s="204">
        <f t="shared" si="73"/>
        <v>0</v>
      </c>
      <c r="AO42" s="204">
        <f t="shared" si="73"/>
        <v>0</v>
      </c>
      <c r="AP42" s="204">
        <f t="shared" si="73"/>
        <v>0</v>
      </c>
      <c r="AQ42" s="204">
        <f t="shared" si="73"/>
        <v>0</v>
      </c>
      <c r="AR42" s="204">
        <f t="shared" si="73"/>
        <v>0</v>
      </c>
      <c r="AS42" s="204">
        <f t="shared" si="73"/>
        <v>0</v>
      </c>
      <c r="AT42" s="64" t="s">
        <v>394</v>
      </c>
      <c r="AU42" s="130" t="s">
        <v>112</v>
      </c>
      <c r="AV42" s="363" t="s">
        <v>569</v>
      </c>
      <c r="AW42" s="363"/>
      <c r="AX42" s="363"/>
      <c r="AY42" s="363"/>
      <c r="AZ42" s="363"/>
      <c r="BA42" s="370"/>
      <c r="BB42" s="204">
        <f aca="true" t="shared" si="74" ref="BB42:BH42">SUM(BB43,BB45,BB48)</f>
        <v>0</v>
      </c>
      <c r="BC42" s="204">
        <f t="shared" si="74"/>
        <v>0</v>
      </c>
      <c r="BD42" s="204">
        <f t="shared" si="74"/>
        <v>0</v>
      </c>
      <c r="BE42" s="204">
        <f t="shared" si="74"/>
        <v>0</v>
      </c>
      <c r="BF42" s="204">
        <f t="shared" si="74"/>
        <v>0</v>
      </c>
      <c r="BG42" s="204">
        <f t="shared" si="74"/>
        <v>0</v>
      </c>
      <c r="BH42" s="204">
        <f t="shared" si="74"/>
        <v>0</v>
      </c>
      <c r="BI42" s="64" t="s">
        <v>467</v>
      </c>
      <c r="BJ42" s="130" t="s">
        <v>112</v>
      </c>
      <c r="BK42" s="363" t="s">
        <v>569</v>
      </c>
      <c r="BL42" s="363"/>
      <c r="BM42" s="363"/>
      <c r="BN42" s="363"/>
      <c r="BO42" s="363"/>
      <c r="BP42" s="370"/>
      <c r="BQ42" s="204">
        <f aca="true" t="shared" si="75" ref="BQ42:BW42">SUM(BQ43,BQ45,BQ48)</f>
        <v>0</v>
      </c>
      <c r="BR42" s="204">
        <f t="shared" si="75"/>
        <v>0</v>
      </c>
      <c r="BS42" s="204">
        <f t="shared" si="75"/>
        <v>0</v>
      </c>
      <c r="BT42" s="204">
        <f t="shared" si="75"/>
        <v>0</v>
      </c>
      <c r="BU42" s="204">
        <f t="shared" si="75"/>
        <v>0</v>
      </c>
      <c r="BV42" s="204">
        <f t="shared" si="75"/>
        <v>0</v>
      </c>
      <c r="BW42" s="204">
        <f t="shared" si="75"/>
        <v>0</v>
      </c>
      <c r="BX42" s="64" t="s">
        <v>731</v>
      </c>
      <c r="BY42" s="130" t="s">
        <v>112</v>
      </c>
      <c r="BZ42" s="363" t="s">
        <v>569</v>
      </c>
      <c r="CA42" s="363"/>
      <c r="CB42" s="363"/>
      <c r="CC42" s="363"/>
      <c r="CD42" s="363"/>
      <c r="CE42" s="370"/>
      <c r="CF42" s="204">
        <f aca="true" t="shared" si="76" ref="CF42:CL42">SUM(CF43,CF45,CF48)</f>
        <v>0</v>
      </c>
      <c r="CG42" s="204">
        <f t="shared" si="76"/>
        <v>0</v>
      </c>
      <c r="CH42" s="204">
        <f t="shared" si="76"/>
        <v>0</v>
      </c>
      <c r="CI42" s="204">
        <f t="shared" si="76"/>
        <v>0</v>
      </c>
      <c r="CJ42" s="204">
        <f t="shared" si="76"/>
        <v>0</v>
      </c>
      <c r="CK42" s="204">
        <f t="shared" si="76"/>
        <v>0</v>
      </c>
      <c r="CL42" s="204">
        <f t="shared" si="76"/>
        <v>0</v>
      </c>
      <c r="CM42" s="64" t="s">
        <v>805</v>
      </c>
      <c r="CN42" s="130" t="s">
        <v>112</v>
      </c>
      <c r="CO42" s="363" t="s">
        <v>569</v>
      </c>
      <c r="CP42" s="363"/>
      <c r="CQ42" s="363"/>
      <c r="CR42" s="363"/>
      <c r="CS42" s="363"/>
      <c r="CT42" s="370"/>
      <c r="CU42" s="204">
        <f aca="true" t="shared" si="77" ref="CU42:DB42">SUM(CU43,CU45,CU48)</f>
        <v>0</v>
      </c>
      <c r="CV42" s="204">
        <f t="shared" si="77"/>
        <v>0</v>
      </c>
      <c r="CW42" s="204">
        <f t="shared" si="77"/>
        <v>0</v>
      </c>
      <c r="CX42" s="204">
        <f t="shared" si="77"/>
        <v>0</v>
      </c>
      <c r="CY42" s="204">
        <f t="shared" si="77"/>
        <v>0</v>
      </c>
      <c r="CZ42" s="204">
        <f t="shared" si="77"/>
        <v>0</v>
      </c>
      <c r="DA42" s="204">
        <f>SUM(DA43,DA45,DA48)</f>
        <v>0</v>
      </c>
      <c r="DB42" s="204">
        <f t="shared" si="77"/>
        <v>0</v>
      </c>
      <c r="DC42" s="182">
        <f t="shared" si="7"/>
        <v>609105</v>
      </c>
    </row>
    <row r="43" spans="1:107" s="149" customFormat="1" ht="15" customHeight="1" thickBot="1">
      <c r="A43" s="64" t="s">
        <v>62</v>
      </c>
      <c r="B43" s="148"/>
      <c r="C43" s="136" t="s">
        <v>113</v>
      </c>
      <c r="D43" s="137" t="s">
        <v>570</v>
      </c>
      <c r="E43" s="137"/>
      <c r="F43" s="137"/>
      <c r="G43" s="137"/>
      <c r="H43" s="137"/>
      <c r="I43" s="139">
        <f>SUM(I44)</f>
        <v>0</v>
      </c>
      <c r="J43" s="139">
        <f aca="true" t="shared" si="78" ref="J43:O43">SUM(J44)</f>
        <v>0</v>
      </c>
      <c r="K43" s="139">
        <f t="shared" si="78"/>
        <v>0</v>
      </c>
      <c r="L43" s="139">
        <f t="shared" si="78"/>
        <v>0</v>
      </c>
      <c r="M43" s="139">
        <f t="shared" si="78"/>
        <v>0</v>
      </c>
      <c r="N43" s="139">
        <f t="shared" si="78"/>
        <v>0</v>
      </c>
      <c r="O43" s="139">
        <f t="shared" si="78"/>
        <v>0</v>
      </c>
      <c r="P43" s="64" t="s">
        <v>246</v>
      </c>
      <c r="Q43" s="148"/>
      <c r="R43" s="136" t="s">
        <v>113</v>
      </c>
      <c r="S43" s="137" t="s">
        <v>570</v>
      </c>
      <c r="T43" s="137"/>
      <c r="U43" s="137"/>
      <c r="V43" s="137"/>
      <c r="W43" s="219"/>
      <c r="X43" s="207">
        <f aca="true" t="shared" si="79" ref="X43:AD43">SUM(X44)</f>
        <v>0</v>
      </c>
      <c r="Y43" s="207">
        <f t="shared" si="79"/>
        <v>0</v>
      </c>
      <c r="Z43" s="207">
        <f t="shared" si="79"/>
        <v>0</v>
      </c>
      <c r="AA43" s="207">
        <f t="shared" si="79"/>
        <v>0</v>
      </c>
      <c r="AB43" s="207">
        <f t="shared" si="79"/>
        <v>0</v>
      </c>
      <c r="AC43" s="207">
        <f t="shared" si="79"/>
        <v>0</v>
      </c>
      <c r="AD43" s="207">
        <f t="shared" si="79"/>
        <v>0</v>
      </c>
      <c r="AE43" s="64" t="s">
        <v>320</v>
      </c>
      <c r="AF43" s="148"/>
      <c r="AG43" s="136" t="s">
        <v>113</v>
      </c>
      <c r="AH43" s="137" t="s">
        <v>570</v>
      </c>
      <c r="AI43" s="137"/>
      <c r="AJ43" s="137"/>
      <c r="AK43" s="137"/>
      <c r="AL43" s="219"/>
      <c r="AM43" s="207">
        <f aca="true" t="shared" si="80" ref="AM43:AS43">SUM(AM44)</f>
        <v>0</v>
      </c>
      <c r="AN43" s="207">
        <f t="shared" si="80"/>
        <v>0</v>
      </c>
      <c r="AO43" s="207">
        <f t="shared" si="80"/>
        <v>0</v>
      </c>
      <c r="AP43" s="207">
        <f t="shared" si="80"/>
        <v>0</v>
      </c>
      <c r="AQ43" s="207">
        <f t="shared" si="80"/>
        <v>0</v>
      </c>
      <c r="AR43" s="207">
        <f t="shared" si="80"/>
        <v>0</v>
      </c>
      <c r="AS43" s="207">
        <f t="shared" si="80"/>
        <v>0</v>
      </c>
      <c r="AT43" s="64" t="s">
        <v>395</v>
      </c>
      <c r="AU43" s="148"/>
      <c r="AV43" s="136" t="s">
        <v>113</v>
      </c>
      <c r="AW43" s="137" t="s">
        <v>570</v>
      </c>
      <c r="AX43" s="137"/>
      <c r="AY43" s="137"/>
      <c r="AZ43" s="137"/>
      <c r="BA43" s="219"/>
      <c r="BB43" s="207">
        <f aca="true" t="shared" si="81" ref="BB43:BH43">SUM(BB44)</f>
        <v>0</v>
      </c>
      <c r="BC43" s="207">
        <f t="shared" si="81"/>
        <v>0</v>
      </c>
      <c r="BD43" s="207">
        <f t="shared" si="81"/>
        <v>0</v>
      </c>
      <c r="BE43" s="207">
        <f t="shared" si="81"/>
        <v>0</v>
      </c>
      <c r="BF43" s="207">
        <f t="shared" si="81"/>
        <v>0</v>
      </c>
      <c r="BG43" s="207">
        <f t="shared" si="81"/>
        <v>0</v>
      </c>
      <c r="BH43" s="207">
        <f t="shared" si="81"/>
        <v>0</v>
      </c>
      <c r="BI43" s="64" t="s">
        <v>468</v>
      </c>
      <c r="BJ43" s="148"/>
      <c r="BK43" s="136" t="s">
        <v>113</v>
      </c>
      <c r="BL43" s="137" t="s">
        <v>570</v>
      </c>
      <c r="BM43" s="137"/>
      <c r="BN43" s="137"/>
      <c r="BO43" s="137"/>
      <c r="BP43" s="219"/>
      <c r="BQ43" s="207">
        <f aca="true" t="shared" si="82" ref="BQ43:BW43">SUM(BQ44)</f>
        <v>0</v>
      </c>
      <c r="BR43" s="207">
        <f t="shared" si="82"/>
        <v>0</v>
      </c>
      <c r="BS43" s="207">
        <f t="shared" si="82"/>
        <v>0</v>
      </c>
      <c r="BT43" s="207">
        <f t="shared" si="82"/>
        <v>0</v>
      </c>
      <c r="BU43" s="207">
        <f t="shared" si="82"/>
        <v>0</v>
      </c>
      <c r="BV43" s="207">
        <f t="shared" si="82"/>
        <v>0</v>
      </c>
      <c r="BW43" s="207">
        <f t="shared" si="82"/>
        <v>0</v>
      </c>
      <c r="BX43" s="64" t="s">
        <v>732</v>
      </c>
      <c r="BY43" s="148"/>
      <c r="BZ43" s="136" t="s">
        <v>113</v>
      </c>
      <c r="CA43" s="137" t="s">
        <v>570</v>
      </c>
      <c r="CB43" s="137"/>
      <c r="CC43" s="137"/>
      <c r="CD43" s="137"/>
      <c r="CE43" s="219"/>
      <c r="CF43" s="207">
        <f aca="true" t="shared" si="83" ref="CF43:CL43">SUM(CF44)</f>
        <v>0</v>
      </c>
      <c r="CG43" s="207">
        <f t="shared" si="83"/>
        <v>0</v>
      </c>
      <c r="CH43" s="207">
        <f t="shared" si="83"/>
        <v>0</v>
      </c>
      <c r="CI43" s="207">
        <f t="shared" si="83"/>
        <v>0</v>
      </c>
      <c r="CJ43" s="207">
        <f t="shared" si="83"/>
        <v>0</v>
      </c>
      <c r="CK43" s="207">
        <f t="shared" si="83"/>
        <v>0</v>
      </c>
      <c r="CL43" s="207">
        <f t="shared" si="83"/>
        <v>0</v>
      </c>
      <c r="CM43" s="64" t="s">
        <v>806</v>
      </c>
      <c r="CN43" s="148"/>
      <c r="CO43" s="136" t="s">
        <v>113</v>
      </c>
      <c r="CP43" s="137" t="s">
        <v>570</v>
      </c>
      <c r="CQ43" s="137"/>
      <c r="CR43" s="137"/>
      <c r="CS43" s="137"/>
      <c r="CT43" s="219"/>
      <c r="CU43" s="207">
        <f aca="true" t="shared" si="84" ref="CU43:DB43">SUM(CU44)</f>
        <v>0</v>
      </c>
      <c r="CV43" s="207">
        <f t="shared" si="84"/>
        <v>0</v>
      </c>
      <c r="CW43" s="207">
        <f t="shared" si="84"/>
        <v>0</v>
      </c>
      <c r="CX43" s="207">
        <f t="shared" si="84"/>
        <v>0</v>
      </c>
      <c r="CY43" s="207">
        <f t="shared" si="84"/>
        <v>0</v>
      </c>
      <c r="CZ43" s="207">
        <f t="shared" si="84"/>
        <v>0</v>
      </c>
      <c r="DA43" s="207">
        <f t="shared" si="84"/>
        <v>0</v>
      </c>
      <c r="DB43" s="207">
        <f t="shared" si="84"/>
        <v>0</v>
      </c>
      <c r="DC43" s="183">
        <f t="shared" si="7"/>
        <v>0</v>
      </c>
    </row>
    <row r="44" spans="1:107" s="110" customFormat="1" ht="15" customHeight="1" thickBot="1">
      <c r="A44" s="64" t="s">
        <v>64</v>
      </c>
      <c r="B44" s="109"/>
      <c r="C44" s="95"/>
      <c r="D44" s="113" t="s">
        <v>698</v>
      </c>
      <c r="E44" s="107" t="s">
        <v>571</v>
      </c>
      <c r="F44" s="107"/>
      <c r="G44" s="107"/>
      <c r="H44" s="107"/>
      <c r="I44" s="108"/>
      <c r="J44" s="108"/>
      <c r="K44" s="108"/>
      <c r="L44" s="108"/>
      <c r="M44" s="108"/>
      <c r="N44" s="108"/>
      <c r="O44" s="108"/>
      <c r="P44" s="64" t="s">
        <v>247</v>
      </c>
      <c r="Q44" s="109"/>
      <c r="R44" s="95"/>
      <c r="S44" s="113" t="s">
        <v>698</v>
      </c>
      <c r="T44" s="107" t="s">
        <v>571</v>
      </c>
      <c r="U44" s="107"/>
      <c r="V44" s="107"/>
      <c r="W44" s="214"/>
      <c r="X44" s="206"/>
      <c r="Y44" s="206"/>
      <c r="Z44" s="206"/>
      <c r="AA44" s="206"/>
      <c r="AB44" s="206"/>
      <c r="AC44" s="206"/>
      <c r="AD44" s="206"/>
      <c r="AE44" s="64" t="s">
        <v>321</v>
      </c>
      <c r="AF44" s="109"/>
      <c r="AG44" s="95"/>
      <c r="AH44" s="113" t="s">
        <v>698</v>
      </c>
      <c r="AI44" s="107" t="s">
        <v>571</v>
      </c>
      <c r="AJ44" s="107"/>
      <c r="AK44" s="107"/>
      <c r="AL44" s="214"/>
      <c r="AM44" s="206"/>
      <c r="AN44" s="206"/>
      <c r="AO44" s="206"/>
      <c r="AP44" s="206"/>
      <c r="AQ44" s="206"/>
      <c r="AR44" s="206"/>
      <c r="AS44" s="206"/>
      <c r="AT44" s="64" t="s">
        <v>396</v>
      </c>
      <c r="AU44" s="109"/>
      <c r="AV44" s="95"/>
      <c r="AW44" s="113" t="s">
        <v>698</v>
      </c>
      <c r="AX44" s="107" t="s">
        <v>571</v>
      </c>
      <c r="AY44" s="107"/>
      <c r="AZ44" s="107"/>
      <c r="BA44" s="214"/>
      <c r="BB44" s="206"/>
      <c r="BC44" s="206"/>
      <c r="BD44" s="206"/>
      <c r="BE44" s="206"/>
      <c r="BF44" s="206"/>
      <c r="BG44" s="206"/>
      <c r="BH44" s="206"/>
      <c r="BI44" s="64" t="s">
        <v>469</v>
      </c>
      <c r="BJ44" s="109"/>
      <c r="BK44" s="95"/>
      <c r="BL44" s="113" t="s">
        <v>698</v>
      </c>
      <c r="BM44" s="107" t="s">
        <v>571</v>
      </c>
      <c r="BN44" s="107"/>
      <c r="BO44" s="107"/>
      <c r="BP44" s="214"/>
      <c r="BQ44" s="206"/>
      <c r="BR44" s="206"/>
      <c r="BS44" s="206"/>
      <c r="BT44" s="206"/>
      <c r="BU44" s="206"/>
      <c r="BV44" s="206"/>
      <c r="BW44" s="206"/>
      <c r="BX44" s="64" t="s">
        <v>733</v>
      </c>
      <c r="BY44" s="109"/>
      <c r="BZ44" s="95"/>
      <c r="CA44" s="113" t="s">
        <v>698</v>
      </c>
      <c r="CB44" s="107" t="s">
        <v>571</v>
      </c>
      <c r="CC44" s="107"/>
      <c r="CD44" s="107"/>
      <c r="CE44" s="214"/>
      <c r="CF44" s="206"/>
      <c r="CG44" s="206"/>
      <c r="CH44" s="206"/>
      <c r="CI44" s="206"/>
      <c r="CJ44" s="206"/>
      <c r="CK44" s="206"/>
      <c r="CL44" s="206"/>
      <c r="CM44" s="64" t="s">
        <v>807</v>
      </c>
      <c r="CN44" s="109"/>
      <c r="CO44" s="95"/>
      <c r="CP44" s="113" t="s">
        <v>698</v>
      </c>
      <c r="CQ44" s="107" t="s">
        <v>571</v>
      </c>
      <c r="CR44" s="107"/>
      <c r="CS44" s="107"/>
      <c r="CT44" s="214"/>
      <c r="CU44" s="206"/>
      <c r="CV44" s="206"/>
      <c r="CW44" s="206"/>
      <c r="CX44" s="206"/>
      <c r="CY44" s="206"/>
      <c r="CZ44" s="206"/>
      <c r="DA44" s="206"/>
      <c r="DB44" s="206"/>
      <c r="DC44" s="181">
        <f t="shared" si="7"/>
        <v>0</v>
      </c>
    </row>
    <row r="45" spans="1:107" s="134" customFormat="1" ht="15" customHeight="1" thickBot="1">
      <c r="A45" s="64" t="s">
        <v>65</v>
      </c>
      <c r="B45" s="135"/>
      <c r="C45" s="136" t="s">
        <v>572</v>
      </c>
      <c r="D45" s="137" t="s">
        <v>573</v>
      </c>
      <c r="E45" s="137"/>
      <c r="F45" s="137"/>
      <c r="G45" s="137"/>
      <c r="H45" s="141"/>
      <c r="I45" s="139">
        <f>SUM(I46:I47)</f>
        <v>0</v>
      </c>
      <c r="J45" s="139">
        <f aca="true" t="shared" si="85" ref="J45:O45">SUM(J46:J47)</f>
        <v>0</v>
      </c>
      <c r="K45" s="139">
        <f t="shared" si="85"/>
        <v>0</v>
      </c>
      <c r="L45" s="139">
        <f t="shared" si="85"/>
        <v>0</v>
      </c>
      <c r="M45" s="139">
        <f t="shared" si="85"/>
        <v>0</v>
      </c>
      <c r="N45" s="139">
        <f t="shared" si="85"/>
        <v>0</v>
      </c>
      <c r="O45" s="139">
        <f t="shared" si="85"/>
        <v>0</v>
      </c>
      <c r="P45" s="64" t="s">
        <v>248</v>
      </c>
      <c r="Q45" s="135"/>
      <c r="R45" s="136" t="s">
        <v>572</v>
      </c>
      <c r="S45" s="137" t="s">
        <v>573</v>
      </c>
      <c r="T45" s="137"/>
      <c r="U45" s="137"/>
      <c r="V45" s="137"/>
      <c r="W45" s="213"/>
      <c r="X45" s="207">
        <f aca="true" t="shared" si="86" ref="X45:AD45">SUM(X46:X47)</f>
        <v>0</v>
      </c>
      <c r="Y45" s="207">
        <f t="shared" si="86"/>
        <v>609105</v>
      </c>
      <c r="Z45" s="207">
        <f t="shared" si="86"/>
        <v>0</v>
      </c>
      <c r="AA45" s="207">
        <f t="shared" si="86"/>
        <v>0</v>
      </c>
      <c r="AB45" s="207">
        <f t="shared" si="86"/>
        <v>0</v>
      </c>
      <c r="AC45" s="207">
        <f t="shared" si="86"/>
        <v>0</v>
      </c>
      <c r="AD45" s="207">
        <f t="shared" si="86"/>
        <v>0</v>
      </c>
      <c r="AE45" s="64" t="s">
        <v>322</v>
      </c>
      <c r="AF45" s="135"/>
      <c r="AG45" s="136" t="s">
        <v>572</v>
      </c>
      <c r="AH45" s="137" t="s">
        <v>573</v>
      </c>
      <c r="AI45" s="137"/>
      <c r="AJ45" s="137"/>
      <c r="AK45" s="137"/>
      <c r="AL45" s="213"/>
      <c r="AM45" s="207">
        <f aca="true" t="shared" si="87" ref="AM45:AS45">SUM(AM46:AM47)</f>
        <v>0</v>
      </c>
      <c r="AN45" s="207">
        <f t="shared" si="87"/>
        <v>0</v>
      </c>
      <c r="AO45" s="207">
        <f t="shared" si="87"/>
        <v>0</v>
      </c>
      <c r="AP45" s="207">
        <f t="shared" si="87"/>
        <v>0</v>
      </c>
      <c r="AQ45" s="207">
        <f t="shared" si="87"/>
        <v>0</v>
      </c>
      <c r="AR45" s="207">
        <f t="shared" si="87"/>
        <v>0</v>
      </c>
      <c r="AS45" s="207">
        <f t="shared" si="87"/>
        <v>0</v>
      </c>
      <c r="AT45" s="64" t="s">
        <v>397</v>
      </c>
      <c r="AU45" s="135"/>
      <c r="AV45" s="136" t="s">
        <v>572</v>
      </c>
      <c r="AW45" s="137" t="s">
        <v>573</v>
      </c>
      <c r="AX45" s="137"/>
      <c r="AY45" s="137"/>
      <c r="AZ45" s="137"/>
      <c r="BA45" s="213"/>
      <c r="BB45" s="207">
        <f aca="true" t="shared" si="88" ref="BB45:BH45">SUM(BB46:BB47)</f>
        <v>0</v>
      </c>
      <c r="BC45" s="207">
        <f t="shared" si="88"/>
        <v>0</v>
      </c>
      <c r="BD45" s="207">
        <f t="shared" si="88"/>
        <v>0</v>
      </c>
      <c r="BE45" s="207">
        <f t="shared" si="88"/>
        <v>0</v>
      </c>
      <c r="BF45" s="207">
        <f t="shared" si="88"/>
        <v>0</v>
      </c>
      <c r="BG45" s="207">
        <f t="shared" si="88"/>
        <v>0</v>
      </c>
      <c r="BH45" s="207">
        <f t="shared" si="88"/>
        <v>0</v>
      </c>
      <c r="BI45" s="64" t="s">
        <v>470</v>
      </c>
      <c r="BJ45" s="135"/>
      <c r="BK45" s="136" t="s">
        <v>572</v>
      </c>
      <c r="BL45" s="137" t="s">
        <v>573</v>
      </c>
      <c r="BM45" s="137"/>
      <c r="BN45" s="137"/>
      <c r="BO45" s="137"/>
      <c r="BP45" s="213"/>
      <c r="BQ45" s="207">
        <f aca="true" t="shared" si="89" ref="BQ45:BW45">SUM(BQ46:BQ47)</f>
        <v>0</v>
      </c>
      <c r="BR45" s="207">
        <f t="shared" si="89"/>
        <v>0</v>
      </c>
      <c r="BS45" s="207">
        <f t="shared" si="89"/>
        <v>0</v>
      </c>
      <c r="BT45" s="207">
        <f t="shared" si="89"/>
        <v>0</v>
      </c>
      <c r="BU45" s="207">
        <f t="shared" si="89"/>
        <v>0</v>
      </c>
      <c r="BV45" s="207">
        <f t="shared" si="89"/>
        <v>0</v>
      </c>
      <c r="BW45" s="207">
        <f t="shared" si="89"/>
        <v>0</v>
      </c>
      <c r="BX45" s="64" t="s">
        <v>734</v>
      </c>
      <c r="BY45" s="135"/>
      <c r="BZ45" s="136" t="s">
        <v>572</v>
      </c>
      <c r="CA45" s="137" t="s">
        <v>573</v>
      </c>
      <c r="CB45" s="137"/>
      <c r="CC45" s="137"/>
      <c r="CD45" s="137"/>
      <c r="CE45" s="213"/>
      <c r="CF45" s="207">
        <f aca="true" t="shared" si="90" ref="CF45:CL45">SUM(CF46:CF47)</f>
        <v>0</v>
      </c>
      <c r="CG45" s="207">
        <f t="shared" si="90"/>
        <v>0</v>
      </c>
      <c r="CH45" s="207">
        <f t="shared" si="90"/>
        <v>0</v>
      </c>
      <c r="CI45" s="207">
        <f t="shared" si="90"/>
        <v>0</v>
      </c>
      <c r="CJ45" s="207">
        <f t="shared" si="90"/>
        <v>0</v>
      </c>
      <c r="CK45" s="207">
        <f t="shared" si="90"/>
        <v>0</v>
      </c>
      <c r="CL45" s="207">
        <f t="shared" si="90"/>
        <v>0</v>
      </c>
      <c r="CM45" s="64" t="s">
        <v>808</v>
      </c>
      <c r="CN45" s="135"/>
      <c r="CO45" s="136" t="s">
        <v>572</v>
      </c>
      <c r="CP45" s="137" t="s">
        <v>573</v>
      </c>
      <c r="CQ45" s="137"/>
      <c r="CR45" s="137"/>
      <c r="CS45" s="137"/>
      <c r="CT45" s="213"/>
      <c r="CU45" s="207">
        <f aca="true" t="shared" si="91" ref="CU45:DB45">SUM(CU46:CU47)</f>
        <v>0</v>
      </c>
      <c r="CV45" s="207">
        <f t="shared" si="91"/>
        <v>0</v>
      </c>
      <c r="CW45" s="207">
        <f t="shared" si="91"/>
        <v>0</v>
      </c>
      <c r="CX45" s="207">
        <f t="shared" si="91"/>
        <v>0</v>
      </c>
      <c r="CY45" s="207">
        <f t="shared" si="91"/>
        <v>0</v>
      </c>
      <c r="CZ45" s="207">
        <f t="shared" si="91"/>
        <v>0</v>
      </c>
      <c r="DA45" s="207">
        <f>SUM(DA46:DA47)</f>
        <v>0</v>
      </c>
      <c r="DB45" s="207">
        <f t="shared" si="91"/>
        <v>0</v>
      </c>
      <c r="DC45" s="183">
        <f t="shared" si="7"/>
        <v>609105</v>
      </c>
    </row>
    <row r="46" spans="1:107" s="96" customFormat="1" ht="15" customHeight="1" thickBot="1">
      <c r="A46" s="64" t="s">
        <v>66</v>
      </c>
      <c r="B46" s="94"/>
      <c r="C46" s="95"/>
      <c r="D46" s="95" t="s">
        <v>703</v>
      </c>
      <c r="E46" s="97" t="s">
        <v>699</v>
      </c>
      <c r="F46" s="97"/>
      <c r="G46" s="97"/>
      <c r="H46" s="98"/>
      <c r="I46" s="99"/>
      <c r="J46" s="99"/>
      <c r="K46" s="99"/>
      <c r="L46" s="99"/>
      <c r="M46" s="99"/>
      <c r="N46" s="99"/>
      <c r="O46" s="99"/>
      <c r="P46" s="64" t="s">
        <v>249</v>
      </c>
      <c r="Q46" s="94"/>
      <c r="R46" s="95"/>
      <c r="S46" s="95" t="s">
        <v>703</v>
      </c>
      <c r="T46" s="97" t="s">
        <v>699</v>
      </c>
      <c r="U46" s="97"/>
      <c r="V46" s="97"/>
      <c r="W46" s="217"/>
      <c r="X46" s="208"/>
      <c r="Y46" s="208">
        <v>434537</v>
      </c>
      <c r="Z46" s="208"/>
      <c r="AA46" s="208"/>
      <c r="AB46" s="208"/>
      <c r="AC46" s="208"/>
      <c r="AD46" s="208"/>
      <c r="AE46" s="64" t="s">
        <v>323</v>
      </c>
      <c r="AF46" s="94"/>
      <c r="AG46" s="95"/>
      <c r="AH46" s="95" t="s">
        <v>703</v>
      </c>
      <c r="AI46" s="97" t="s">
        <v>699</v>
      </c>
      <c r="AJ46" s="97"/>
      <c r="AK46" s="97"/>
      <c r="AL46" s="217"/>
      <c r="AM46" s="208"/>
      <c r="AN46" s="208"/>
      <c r="AO46" s="208"/>
      <c r="AP46" s="208"/>
      <c r="AQ46" s="208"/>
      <c r="AR46" s="208"/>
      <c r="AS46" s="208"/>
      <c r="AT46" s="64" t="s">
        <v>398</v>
      </c>
      <c r="AU46" s="94"/>
      <c r="AV46" s="95"/>
      <c r="AW46" s="95" t="s">
        <v>703</v>
      </c>
      <c r="AX46" s="97" t="s">
        <v>699</v>
      </c>
      <c r="AY46" s="97"/>
      <c r="AZ46" s="97"/>
      <c r="BA46" s="217"/>
      <c r="BB46" s="208"/>
      <c r="BC46" s="208"/>
      <c r="BD46" s="208"/>
      <c r="BE46" s="208"/>
      <c r="BF46" s="208"/>
      <c r="BG46" s="208"/>
      <c r="BH46" s="208"/>
      <c r="BI46" s="64" t="s">
        <v>471</v>
      </c>
      <c r="BJ46" s="94"/>
      <c r="BK46" s="95"/>
      <c r="BL46" s="95" t="s">
        <v>703</v>
      </c>
      <c r="BM46" s="97" t="s">
        <v>699</v>
      </c>
      <c r="BN46" s="97"/>
      <c r="BO46" s="97"/>
      <c r="BP46" s="217"/>
      <c r="BQ46" s="208"/>
      <c r="BR46" s="208"/>
      <c r="BS46" s="208"/>
      <c r="BT46" s="208"/>
      <c r="BU46" s="208"/>
      <c r="BV46" s="208"/>
      <c r="BW46" s="208"/>
      <c r="BX46" s="64" t="s">
        <v>735</v>
      </c>
      <c r="BY46" s="94"/>
      <c r="BZ46" s="95"/>
      <c r="CA46" s="95" t="s">
        <v>703</v>
      </c>
      <c r="CB46" s="97" t="s">
        <v>699</v>
      </c>
      <c r="CC46" s="97"/>
      <c r="CD46" s="97"/>
      <c r="CE46" s="217"/>
      <c r="CF46" s="208"/>
      <c r="CG46" s="208"/>
      <c r="CH46" s="208"/>
      <c r="CI46" s="208"/>
      <c r="CJ46" s="208"/>
      <c r="CK46" s="208"/>
      <c r="CL46" s="208"/>
      <c r="CM46" s="64" t="s">
        <v>809</v>
      </c>
      <c r="CN46" s="94"/>
      <c r="CO46" s="95"/>
      <c r="CP46" s="95" t="s">
        <v>703</v>
      </c>
      <c r="CQ46" s="97" t="s">
        <v>699</v>
      </c>
      <c r="CR46" s="97"/>
      <c r="CS46" s="97"/>
      <c r="CT46" s="217"/>
      <c r="CU46" s="208"/>
      <c r="CV46" s="208"/>
      <c r="CW46" s="208"/>
      <c r="CX46" s="208"/>
      <c r="CY46" s="208"/>
      <c r="CZ46" s="208"/>
      <c r="DA46" s="208"/>
      <c r="DB46" s="208"/>
      <c r="DC46" s="100">
        <f t="shared" si="7"/>
        <v>434537</v>
      </c>
    </row>
    <row r="47" spans="1:107" s="96" customFormat="1" ht="15" customHeight="1" thickBot="1">
      <c r="A47" s="64" t="s">
        <v>67</v>
      </c>
      <c r="B47" s="94"/>
      <c r="C47" s="95"/>
      <c r="D47" s="95" t="s">
        <v>704</v>
      </c>
      <c r="E47" s="97" t="s">
        <v>700</v>
      </c>
      <c r="F47" s="97"/>
      <c r="G47" s="97"/>
      <c r="H47" s="98"/>
      <c r="I47" s="99"/>
      <c r="J47" s="99"/>
      <c r="K47" s="99"/>
      <c r="L47" s="99"/>
      <c r="M47" s="99"/>
      <c r="N47" s="99"/>
      <c r="O47" s="99"/>
      <c r="P47" s="64" t="s">
        <v>250</v>
      </c>
      <c r="Q47" s="94"/>
      <c r="R47" s="95"/>
      <c r="S47" s="95" t="s">
        <v>704</v>
      </c>
      <c r="T47" s="97" t="s">
        <v>700</v>
      </c>
      <c r="U47" s="97"/>
      <c r="V47" s="97"/>
      <c r="W47" s="217"/>
      <c r="X47" s="208"/>
      <c r="Y47" s="208">
        <v>174568</v>
      </c>
      <c r="Z47" s="208"/>
      <c r="AA47" s="208"/>
      <c r="AB47" s="208"/>
      <c r="AC47" s="208"/>
      <c r="AD47" s="208"/>
      <c r="AE47" s="64" t="s">
        <v>324</v>
      </c>
      <c r="AF47" s="94"/>
      <c r="AG47" s="95"/>
      <c r="AH47" s="95" t="s">
        <v>704</v>
      </c>
      <c r="AI47" s="97" t="s">
        <v>700</v>
      </c>
      <c r="AJ47" s="97"/>
      <c r="AK47" s="97"/>
      <c r="AL47" s="217"/>
      <c r="AM47" s="208"/>
      <c r="AN47" s="208"/>
      <c r="AO47" s="208"/>
      <c r="AP47" s="208"/>
      <c r="AQ47" s="208"/>
      <c r="AR47" s="208"/>
      <c r="AS47" s="208"/>
      <c r="AT47" s="64" t="s">
        <v>399</v>
      </c>
      <c r="AU47" s="94"/>
      <c r="AV47" s="95"/>
      <c r="AW47" s="95" t="s">
        <v>704</v>
      </c>
      <c r="AX47" s="97" t="s">
        <v>700</v>
      </c>
      <c r="AY47" s="97"/>
      <c r="AZ47" s="97"/>
      <c r="BA47" s="217"/>
      <c r="BB47" s="208"/>
      <c r="BC47" s="208"/>
      <c r="BD47" s="208"/>
      <c r="BE47" s="208"/>
      <c r="BF47" s="208"/>
      <c r="BG47" s="208"/>
      <c r="BH47" s="208"/>
      <c r="BI47" s="64" t="s">
        <v>472</v>
      </c>
      <c r="BJ47" s="94"/>
      <c r="BK47" s="95"/>
      <c r="BL47" s="95" t="s">
        <v>704</v>
      </c>
      <c r="BM47" s="97" t="s">
        <v>700</v>
      </c>
      <c r="BN47" s="97"/>
      <c r="BO47" s="97"/>
      <c r="BP47" s="217"/>
      <c r="BQ47" s="208"/>
      <c r="BR47" s="208"/>
      <c r="BS47" s="208"/>
      <c r="BT47" s="208"/>
      <c r="BU47" s="208"/>
      <c r="BV47" s="208"/>
      <c r="BW47" s="208"/>
      <c r="BX47" s="64" t="s">
        <v>736</v>
      </c>
      <c r="BY47" s="94"/>
      <c r="BZ47" s="95"/>
      <c r="CA47" s="95" t="s">
        <v>704</v>
      </c>
      <c r="CB47" s="97" t="s">
        <v>700</v>
      </c>
      <c r="CC47" s="97"/>
      <c r="CD47" s="97"/>
      <c r="CE47" s="217"/>
      <c r="CF47" s="208"/>
      <c r="CG47" s="208"/>
      <c r="CH47" s="208"/>
      <c r="CI47" s="208"/>
      <c r="CJ47" s="208"/>
      <c r="CK47" s="208"/>
      <c r="CL47" s="208"/>
      <c r="CM47" s="64" t="s">
        <v>810</v>
      </c>
      <c r="CN47" s="94"/>
      <c r="CO47" s="95"/>
      <c r="CP47" s="95" t="s">
        <v>704</v>
      </c>
      <c r="CQ47" s="97" t="s">
        <v>700</v>
      </c>
      <c r="CR47" s="97"/>
      <c r="CS47" s="97"/>
      <c r="CT47" s="217"/>
      <c r="CU47" s="208"/>
      <c r="CV47" s="208"/>
      <c r="CW47" s="208"/>
      <c r="CX47" s="208"/>
      <c r="CY47" s="208"/>
      <c r="CZ47" s="208"/>
      <c r="DA47" s="208"/>
      <c r="DB47" s="208"/>
      <c r="DC47" s="100">
        <f t="shared" si="7"/>
        <v>174568</v>
      </c>
    </row>
    <row r="48" spans="1:107" s="134" customFormat="1" ht="15" customHeight="1" thickBot="1">
      <c r="A48" s="64" t="s">
        <v>68</v>
      </c>
      <c r="B48" s="188"/>
      <c r="C48" s="189" t="s">
        <v>574</v>
      </c>
      <c r="D48" s="190" t="s">
        <v>225</v>
      </c>
      <c r="E48" s="191"/>
      <c r="F48" s="191"/>
      <c r="G48" s="191"/>
      <c r="H48" s="191"/>
      <c r="I48" s="192"/>
      <c r="J48" s="192"/>
      <c r="K48" s="192"/>
      <c r="L48" s="192"/>
      <c r="M48" s="192"/>
      <c r="N48" s="192"/>
      <c r="O48" s="192"/>
      <c r="P48" s="64" t="s">
        <v>251</v>
      </c>
      <c r="Q48" s="188"/>
      <c r="R48" s="189" t="s">
        <v>574</v>
      </c>
      <c r="S48" s="190" t="s">
        <v>225</v>
      </c>
      <c r="T48" s="191"/>
      <c r="U48" s="191"/>
      <c r="V48" s="191"/>
      <c r="W48" s="220"/>
      <c r="X48" s="210"/>
      <c r="Y48" s="210"/>
      <c r="Z48" s="210"/>
      <c r="AA48" s="210"/>
      <c r="AB48" s="210"/>
      <c r="AC48" s="210"/>
      <c r="AD48" s="210"/>
      <c r="AE48" s="64" t="s">
        <v>325</v>
      </c>
      <c r="AF48" s="188"/>
      <c r="AG48" s="189" t="s">
        <v>574</v>
      </c>
      <c r="AH48" s="190" t="s">
        <v>225</v>
      </c>
      <c r="AI48" s="191"/>
      <c r="AJ48" s="191"/>
      <c r="AK48" s="191"/>
      <c r="AL48" s="220"/>
      <c r="AM48" s="210"/>
      <c r="AN48" s="210"/>
      <c r="AO48" s="210"/>
      <c r="AP48" s="210"/>
      <c r="AQ48" s="210"/>
      <c r="AR48" s="210"/>
      <c r="AS48" s="210"/>
      <c r="AT48" s="64" t="s">
        <v>400</v>
      </c>
      <c r="AU48" s="188"/>
      <c r="AV48" s="189" t="s">
        <v>574</v>
      </c>
      <c r="AW48" s="190" t="s">
        <v>225</v>
      </c>
      <c r="AX48" s="191"/>
      <c r="AY48" s="191"/>
      <c r="AZ48" s="191"/>
      <c r="BA48" s="220"/>
      <c r="BB48" s="210"/>
      <c r="BC48" s="210"/>
      <c r="BD48" s="210"/>
      <c r="BE48" s="210"/>
      <c r="BF48" s="210"/>
      <c r="BG48" s="210"/>
      <c r="BH48" s="210"/>
      <c r="BI48" s="64" t="s">
        <v>473</v>
      </c>
      <c r="BJ48" s="188"/>
      <c r="BK48" s="189" t="s">
        <v>574</v>
      </c>
      <c r="BL48" s="190" t="s">
        <v>225</v>
      </c>
      <c r="BM48" s="191"/>
      <c r="BN48" s="191"/>
      <c r="BO48" s="191"/>
      <c r="BP48" s="220"/>
      <c r="BQ48" s="210"/>
      <c r="BR48" s="210"/>
      <c r="BS48" s="210"/>
      <c r="BT48" s="210"/>
      <c r="BU48" s="210"/>
      <c r="BV48" s="210"/>
      <c r="BW48" s="210"/>
      <c r="BX48" s="64" t="s">
        <v>737</v>
      </c>
      <c r="BY48" s="188"/>
      <c r="BZ48" s="189" t="s">
        <v>574</v>
      </c>
      <c r="CA48" s="190" t="s">
        <v>225</v>
      </c>
      <c r="CB48" s="191"/>
      <c r="CC48" s="191"/>
      <c r="CD48" s="191"/>
      <c r="CE48" s="220"/>
      <c r="CF48" s="210"/>
      <c r="CG48" s="210"/>
      <c r="CH48" s="210"/>
      <c r="CI48" s="210"/>
      <c r="CJ48" s="210"/>
      <c r="CK48" s="210"/>
      <c r="CL48" s="210"/>
      <c r="CM48" s="64" t="s">
        <v>811</v>
      </c>
      <c r="CN48" s="188"/>
      <c r="CO48" s="189" t="s">
        <v>574</v>
      </c>
      <c r="CP48" s="190" t="s">
        <v>225</v>
      </c>
      <c r="CQ48" s="191"/>
      <c r="CR48" s="191"/>
      <c r="CS48" s="191"/>
      <c r="CT48" s="220"/>
      <c r="CU48" s="210"/>
      <c r="CV48" s="210"/>
      <c r="CW48" s="210"/>
      <c r="CX48" s="210"/>
      <c r="CY48" s="210"/>
      <c r="CZ48" s="210"/>
      <c r="DA48" s="210"/>
      <c r="DB48" s="210"/>
      <c r="DC48" s="193">
        <f t="shared" si="7"/>
        <v>0</v>
      </c>
    </row>
    <row r="49" spans="1:107" s="134" customFormat="1" ht="15" customHeight="1" thickBot="1">
      <c r="A49" s="64" t="s">
        <v>69</v>
      </c>
      <c r="B49" s="151" t="s">
        <v>585</v>
      </c>
      <c r="C49" s="152" t="s">
        <v>586</v>
      </c>
      <c r="D49" s="153"/>
      <c r="E49" s="153"/>
      <c r="F49" s="153"/>
      <c r="G49" s="153"/>
      <c r="H49" s="153"/>
      <c r="I49" s="133"/>
      <c r="J49" s="133"/>
      <c r="K49" s="133"/>
      <c r="L49" s="133"/>
      <c r="M49" s="133"/>
      <c r="N49" s="133"/>
      <c r="O49" s="133"/>
      <c r="P49" s="64" t="s">
        <v>252</v>
      </c>
      <c r="Q49" s="151" t="s">
        <v>585</v>
      </c>
      <c r="R49" s="152" t="s">
        <v>586</v>
      </c>
      <c r="S49" s="153"/>
      <c r="T49" s="153"/>
      <c r="U49" s="153"/>
      <c r="V49" s="153"/>
      <c r="W49" s="221"/>
      <c r="X49" s="204"/>
      <c r="Y49" s="204"/>
      <c r="Z49" s="204"/>
      <c r="AA49" s="204"/>
      <c r="AB49" s="204"/>
      <c r="AC49" s="204"/>
      <c r="AD49" s="204"/>
      <c r="AE49" s="64" t="s">
        <v>326</v>
      </c>
      <c r="AF49" s="151" t="s">
        <v>585</v>
      </c>
      <c r="AG49" s="152" t="s">
        <v>586</v>
      </c>
      <c r="AH49" s="153"/>
      <c r="AI49" s="153"/>
      <c r="AJ49" s="153"/>
      <c r="AK49" s="153"/>
      <c r="AL49" s="221"/>
      <c r="AM49" s="204"/>
      <c r="AN49" s="204"/>
      <c r="AO49" s="204"/>
      <c r="AP49" s="204"/>
      <c r="AQ49" s="204"/>
      <c r="AR49" s="204"/>
      <c r="AS49" s="204"/>
      <c r="AT49" s="64" t="s">
        <v>401</v>
      </c>
      <c r="AU49" s="151" t="s">
        <v>585</v>
      </c>
      <c r="AV49" s="152" t="s">
        <v>586</v>
      </c>
      <c r="AW49" s="153"/>
      <c r="AX49" s="153"/>
      <c r="AY49" s="153"/>
      <c r="AZ49" s="153"/>
      <c r="BA49" s="221"/>
      <c r="BB49" s="204"/>
      <c r="BC49" s="204"/>
      <c r="BD49" s="204"/>
      <c r="BE49" s="204"/>
      <c r="BF49" s="204"/>
      <c r="BG49" s="204"/>
      <c r="BH49" s="204"/>
      <c r="BI49" s="64" t="s">
        <v>474</v>
      </c>
      <c r="BJ49" s="151" t="s">
        <v>585</v>
      </c>
      <c r="BK49" s="152" t="s">
        <v>586</v>
      </c>
      <c r="BL49" s="153"/>
      <c r="BM49" s="153"/>
      <c r="BN49" s="153"/>
      <c r="BO49" s="153"/>
      <c r="BP49" s="221"/>
      <c r="BQ49" s="204"/>
      <c r="BR49" s="204"/>
      <c r="BS49" s="204"/>
      <c r="BT49" s="204"/>
      <c r="BU49" s="204"/>
      <c r="BV49" s="204"/>
      <c r="BW49" s="204"/>
      <c r="BX49" s="64" t="s">
        <v>738</v>
      </c>
      <c r="BY49" s="151" t="s">
        <v>585</v>
      </c>
      <c r="BZ49" s="152" t="s">
        <v>586</v>
      </c>
      <c r="CA49" s="153"/>
      <c r="CB49" s="153"/>
      <c r="CC49" s="153"/>
      <c r="CD49" s="153"/>
      <c r="CE49" s="221"/>
      <c r="CF49" s="204"/>
      <c r="CG49" s="204"/>
      <c r="CH49" s="204"/>
      <c r="CI49" s="204"/>
      <c r="CJ49" s="204"/>
      <c r="CK49" s="204"/>
      <c r="CL49" s="204"/>
      <c r="CM49" s="64" t="s">
        <v>812</v>
      </c>
      <c r="CN49" s="151" t="s">
        <v>585</v>
      </c>
      <c r="CO49" s="152" t="s">
        <v>586</v>
      </c>
      <c r="CP49" s="153"/>
      <c r="CQ49" s="153"/>
      <c r="CR49" s="153"/>
      <c r="CS49" s="153"/>
      <c r="CT49" s="221"/>
      <c r="CU49" s="204"/>
      <c r="CV49" s="204"/>
      <c r="CW49" s="204"/>
      <c r="CX49" s="204"/>
      <c r="CY49" s="204"/>
      <c r="CZ49" s="204"/>
      <c r="DA49" s="204"/>
      <c r="DB49" s="204"/>
      <c r="DC49" s="182">
        <f t="shared" si="7"/>
        <v>0</v>
      </c>
    </row>
    <row r="50" spans="1:107" s="134" customFormat="1" ht="30" customHeight="1" thickBot="1">
      <c r="A50" s="64" t="s">
        <v>70</v>
      </c>
      <c r="B50" s="359" t="s">
        <v>592</v>
      </c>
      <c r="C50" s="360"/>
      <c r="D50" s="360"/>
      <c r="E50" s="360"/>
      <c r="F50" s="360"/>
      <c r="G50" s="360"/>
      <c r="H50" s="360"/>
      <c r="I50" s="147">
        <f>SUM(I41,I42,I49)</f>
        <v>54674</v>
      </c>
      <c r="J50" s="147">
        <f aca="true" t="shared" si="92" ref="J50:O50">SUM(J41,J42,J49)</f>
        <v>0</v>
      </c>
      <c r="K50" s="147">
        <f t="shared" si="92"/>
        <v>924327</v>
      </c>
      <c r="L50" s="147">
        <f t="shared" si="92"/>
        <v>7000</v>
      </c>
      <c r="M50" s="147">
        <f t="shared" si="92"/>
        <v>0</v>
      </c>
      <c r="N50" s="147">
        <f t="shared" si="92"/>
        <v>17500</v>
      </c>
      <c r="O50" s="147">
        <f t="shared" si="92"/>
        <v>3244443</v>
      </c>
      <c r="P50" s="64" t="s">
        <v>253</v>
      </c>
      <c r="Q50" s="359" t="s">
        <v>592</v>
      </c>
      <c r="R50" s="360"/>
      <c r="S50" s="360"/>
      <c r="T50" s="360"/>
      <c r="U50" s="360"/>
      <c r="V50" s="360"/>
      <c r="W50" s="371"/>
      <c r="X50" s="209">
        <f aca="true" t="shared" si="93" ref="X50:AD50">SUM(X41,X42,X49)</f>
        <v>0</v>
      </c>
      <c r="Y50" s="147">
        <f t="shared" si="93"/>
        <v>609105</v>
      </c>
      <c r="Z50" s="147">
        <f t="shared" si="93"/>
        <v>0</v>
      </c>
      <c r="AA50" s="147">
        <f t="shared" si="93"/>
        <v>28549</v>
      </c>
      <c r="AB50" s="147">
        <f t="shared" si="93"/>
        <v>42492</v>
      </c>
      <c r="AC50" s="147">
        <f t="shared" si="93"/>
        <v>0</v>
      </c>
      <c r="AD50" s="147">
        <f t="shared" si="93"/>
        <v>0</v>
      </c>
      <c r="AE50" s="64" t="s">
        <v>327</v>
      </c>
      <c r="AF50" s="359" t="s">
        <v>592</v>
      </c>
      <c r="AG50" s="360"/>
      <c r="AH50" s="360"/>
      <c r="AI50" s="360"/>
      <c r="AJ50" s="360"/>
      <c r="AK50" s="360"/>
      <c r="AL50" s="371"/>
      <c r="AM50" s="209">
        <f aca="true" t="shared" si="94" ref="AM50:AS50">SUM(AM41,AM42,AM49)</f>
        <v>359948</v>
      </c>
      <c r="AN50" s="147">
        <f t="shared" si="94"/>
        <v>0</v>
      </c>
      <c r="AO50" s="147">
        <f t="shared" si="94"/>
        <v>11675</v>
      </c>
      <c r="AP50" s="147">
        <f t="shared" si="94"/>
        <v>5000</v>
      </c>
      <c r="AQ50" s="147">
        <f t="shared" si="94"/>
        <v>0</v>
      </c>
      <c r="AR50" s="147">
        <f t="shared" si="94"/>
        <v>9081</v>
      </c>
      <c r="AS50" s="147">
        <f t="shared" si="94"/>
        <v>2300</v>
      </c>
      <c r="AT50" s="64" t="s">
        <v>402</v>
      </c>
      <c r="AU50" s="359" t="s">
        <v>592</v>
      </c>
      <c r="AV50" s="360"/>
      <c r="AW50" s="360"/>
      <c r="AX50" s="360"/>
      <c r="AY50" s="360"/>
      <c r="AZ50" s="360"/>
      <c r="BA50" s="371"/>
      <c r="BB50" s="209">
        <f aca="true" t="shared" si="95" ref="BB50:BH50">SUM(BB41,BB42,BB49)</f>
        <v>0</v>
      </c>
      <c r="BC50" s="147">
        <f t="shared" si="95"/>
        <v>10278</v>
      </c>
      <c r="BD50" s="147">
        <f t="shared" si="95"/>
        <v>24500</v>
      </c>
      <c r="BE50" s="147">
        <f t="shared" si="95"/>
        <v>0</v>
      </c>
      <c r="BF50" s="147">
        <f t="shared" si="95"/>
        <v>3000</v>
      </c>
      <c r="BG50" s="147">
        <f t="shared" si="95"/>
        <v>0</v>
      </c>
      <c r="BH50" s="147">
        <f t="shared" si="95"/>
        <v>0</v>
      </c>
      <c r="BI50" s="64" t="s">
        <v>475</v>
      </c>
      <c r="BJ50" s="359" t="s">
        <v>592</v>
      </c>
      <c r="BK50" s="360"/>
      <c r="BL50" s="360"/>
      <c r="BM50" s="360"/>
      <c r="BN50" s="360"/>
      <c r="BO50" s="360"/>
      <c r="BP50" s="371"/>
      <c r="BQ50" s="209">
        <f aca="true" t="shared" si="96" ref="BQ50:BW50">SUM(BQ41,BQ42,BQ49)</f>
        <v>0</v>
      </c>
      <c r="BR50" s="147">
        <f t="shared" si="96"/>
        <v>26940</v>
      </c>
      <c r="BS50" s="147">
        <f t="shared" si="96"/>
        <v>11256</v>
      </c>
      <c r="BT50" s="147">
        <f t="shared" si="96"/>
        <v>240</v>
      </c>
      <c r="BU50" s="147">
        <f t="shared" si="96"/>
        <v>0</v>
      </c>
      <c r="BV50" s="147">
        <f t="shared" si="96"/>
        <v>0</v>
      </c>
      <c r="BW50" s="147">
        <f t="shared" si="96"/>
        <v>396</v>
      </c>
      <c r="BX50" s="64" t="s">
        <v>739</v>
      </c>
      <c r="BY50" s="359" t="s">
        <v>592</v>
      </c>
      <c r="BZ50" s="360"/>
      <c r="CA50" s="360"/>
      <c r="CB50" s="360"/>
      <c r="CC50" s="360"/>
      <c r="CD50" s="360"/>
      <c r="CE50" s="371"/>
      <c r="CF50" s="209">
        <f aca="true" t="shared" si="97" ref="CF50:CL50">SUM(CF41,CF42,CF49)</f>
        <v>0</v>
      </c>
      <c r="CG50" s="147">
        <f t="shared" si="97"/>
        <v>0</v>
      </c>
      <c r="CH50" s="147">
        <f t="shared" si="97"/>
        <v>0</v>
      </c>
      <c r="CI50" s="147">
        <f t="shared" si="97"/>
        <v>0</v>
      </c>
      <c r="CJ50" s="147">
        <f t="shared" si="97"/>
        <v>0</v>
      </c>
      <c r="CK50" s="147">
        <f t="shared" si="97"/>
        <v>0</v>
      </c>
      <c r="CL50" s="147">
        <f t="shared" si="97"/>
        <v>0</v>
      </c>
      <c r="CM50" s="64" t="s">
        <v>813</v>
      </c>
      <c r="CN50" s="359" t="s">
        <v>961</v>
      </c>
      <c r="CO50" s="360"/>
      <c r="CP50" s="360"/>
      <c r="CQ50" s="360"/>
      <c r="CR50" s="360"/>
      <c r="CS50" s="360"/>
      <c r="CT50" s="371"/>
      <c r="CU50" s="209">
        <f aca="true" t="shared" si="98" ref="CU50:DB50">SUM(CU41,CU42,CU49)</f>
        <v>0</v>
      </c>
      <c r="CV50" s="147">
        <f t="shared" si="98"/>
        <v>0</v>
      </c>
      <c r="CW50" s="147">
        <f t="shared" si="98"/>
        <v>0</v>
      </c>
      <c r="CX50" s="147">
        <f t="shared" si="98"/>
        <v>499</v>
      </c>
      <c r="CY50" s="147">
        <f t="shared" si="98"/>
        <v>0</v>
      </c>
      <c r="CZ50" s="147">
        <f t="shared" si="98"/>
        <v>300</v>
      </c>
      <c r="DA50" s="147">
        <f>SUM(DA41,DA42,DA49)</f>
        <v>0</v>
      </c>
      <c r="DB50" s="147">
        <f t="shared" si="98"/>
        <v>0</v>
      </c>
      <c r="DC50" s="184">
        <f t="shared" si="7"/>
        <v>5393503</v>
      </c>
    </row>
    <row r="51" spans="1:107" s="56" customFormat="1" ht="15" customHeight="1" thickBot="1">
      <c r="A51" s="64" t="s">
        <v>71</v>
      </c>
      <c r="B51" s="118"/>
      <c r="C51" s="119"/>
      <c r="D51" s="119"/>
      <c r="E51" s="119"/>
      <c r="F51" s="119"/>
      <c r="G51" s="119"/>
      <c r="H51" s="119"/>
      <c r="I51" s="119"/>
      <c r="J51" s="119"/>
      <c r="K51" s="119"/>
      <c r="L51" s="119"/>
      <c r="M51" s="119"/>
      <c r="N51" s="119"/>
      <c r="O51" s="119"/>
      <c r="P51" s="64" t="s">
        <v>254</v>
      </c>
      <c r="Q51" s="119"/>
      <c r="R51" s="119"/>
      <c r="S51" s="119"/>
      <c r="T51" s="119"/>
      <c r="U51" s="119"/>
      <c r="V51" s="119"/>
      <c r="W51" s="119"/>
      <c r="X51" s="119"/>
      <c r="Y51" s="119"/>
      <c r="Z51" s="119"/>
      <c r="AA51" s="119"/>
      <c r="AB51" s="119"/>
      <c r="AC51" s="119"/>
      <c r="AD51" s="119"/>
      <c r="AE51" s="64" t="s">
        <v>328</v>
      </c>
      <c r="AF51" s="119"/>
      <c r="AG51" s="119"/>
      <c r="AH51" s="119"/>
      <c r="AI51" s="119"/>
      <c r="AJ51" s="119"/>
      <c r="AK51" s="119"/>
      <c r="AL51" s="119"/>
      <c r="AM51" s="119"/>
      <c r="AN51" s="119"/>
      <c r="AO51" s="119"/>
      <c r="AP51" s="119"/>
      <c r="AQ51" s="119"/>
      <c r="AR51" s="119"/>
      <c r="AS51" s="119"/>
      <c r="AT51" s="64" t="s">
        <v>403</v>
      </c>
      <c r="AU51" s="119"/>
      <c r="AV51" s="119"/>
      <c r="AW51" s="119"/>
      <c r="AX51" s="119"/>
      <c r="AY51" s="119"/>
      <c r="AZ51" s="119"/>
      <c r="BA51" s="119"/>
      <c r="BB51" s="119"/>
      <c r="BC51" s="119"/>
      <c r="BD51" s="119"/>
      <c r="BE51" s="119"/>
      <c r="BF51" s="119"/>
      <c r="BG51" s="119"/>
      <c r="BH51" s="119"/>
      <c r="BI51" s="64" t="s">
        <v>476</v>
      </c>
      <c r="BJ51" s="119"/>
      <c r="BK51" s="119"/>
      <c r="BL51" s="119"/>
      <c r="BM51" s="119"/>
      <c r="BN51" s="119"/>
      <c r="BO51" s="119"/>
      <c r="BP51" s="119"/>
      <c r="BQ51" s="119"/>
      <c r="BR51" s="119"/>
      <c r="BS51" s="119"/>
      <c r="BT51" s="119"/>
      <c r="BU51" s="119"/>
      <c r="BV51" s="119"/>
      <c r="BW51" s="119"/>
      <c r="BX51" s="64" t="s">
        <v>740</v>
      </c>
      <c r="BY51" s="119"/>
      <c r="BZ51" s="119"/>
      <c r="CA51" s="119"/>
      <c r="CB51" s="119"/>
      <c r="CC51" s="119"/>
      <c r="CD51" s="119"/>
      <c r="CE51" s="119"/>
      <c r="CF51" s="119"/>
      <c r="CG51" s="119"/>
      <c r="CH51" s="119"/>
      <c r="CI51" s="119"/>
      <c r="CJ51" s="119"/>
      <c r="CK51" s="119"/>
      <c r="CL51" s="119"/>
      <c r="CM51" s="64" t="s">
        <v>814</v>
      </c>
      <c r="CN51" s="119"/>
      <c r="CO51" s="119"/>
      <c r="CP51" s="119"/>
      <c r="CQ51" s="119"/>
      <c r="CR51" s="119"/>
      <c r="CS51" s="119"/>
      <c r="CT51" s="119"/>
      <c r="CU51" s="119"/>
      <c r="CV51" s="119"/>
      <c r="CW51" s="119"/>
      <c r="CX51" s="119"/>
      <c r="CY51" s="119"/>
      <c r="CZ51" s="119"/>
      <c r="DA51" s="119"/>
      <c r="DB51" s="119"/>
      <c r="DC51" s="120"/>
    </row>
    <row r="52" spans="1:107" ht="115.5" thickBot="1">
      <c r="A52" s="64" t="s">
        <v>72</v>
      </c>
      <c r="B52" s="353" t="s">
        <v>123</v>
      </c>
      <c r="C52" s="353"/>
      <c r="D52" s="353"/>
      <c r="E52" s="353"/>
      <c r="F52" s="353"/>
      <c r="G52" s="353"/>
      <c r="H52" s="353"/>
      <c r="I52" s="57" t="s">
        <v>835</v>
      </c>
      <c r="J52" s="57" t="s">
        <v>603</v>
      </c>
      <c r="K52" s="57" t="s">
        <v>604</v>
      </c>
      <c r="L52" s="57" t="s">
        <v>605</v>
      </c>
      <c r="M52" s="57" t="s">
        <v>606</v>
      </c>
      <c r="N52" s="57" t="s">
        <v>607</v>
      </c>
      <c r="O52" s="229" t="s">
        <v>836</v>
      </c>
      <c r="P52" s="64" t="s">
        <v>255</v>
      </c>
      <c r="Q52" s="353" t="s">
        <v>123</v>
      </c>
      <c r="R52" s="353"/>
      <c r="S52" s="353"/>
      <c r="T52" s="353"/>
      <c r="U52" s="353"/>
      <c r="V52" s="353"/>
      <c r="W52" s="353"/>
      <c r="X52" s="57" t="s">
        <v>608</v>
      </c>
      <c r="Y52" s="57" t="s">
        <v>609</v>
      </c>
      <c r="Z52" s="57" t="s">
        <v>610</v>
      </c>
      <c r="AA52" s="57" t="s">
        <v>837</v>
      </c>
      <c r="AB52" s="57" t="s">
        <v>838</v>
      </c>
      <c r="AC52" s="229" t="s">
        <v>611</v>
      </c>
      <c r="AD52" s="57" t="s">
        <v>612</v>
      </c>
      <c r="AE52" s="64" t="s">
        <v>329</v>
      </c>
      <c r="AF52" s="353" t="s">
        <v>123</v>
      </c>
      <c r="AG52" s="353"/>
      <c r="AH52" s="353"/>
      <c r="AI52" s="353"/>
      <c r="AJ52" s="353"/>
      <c r="AK52" s="353"/>
      <c r="AL52" s="353"/>
      <c r="AM52" s="57" t="s">
        <v>613</v>
      </c>
      <c r="AN52" s="57" t="s">
        <v>614</v>
      </c>
      <c r="AO52" s="57" t="s">
        <v>615</v>
      </c>
      <c r="AP52" s="57" t="s">
        <v>616</v>
      </c>
      <c r="AQ52" s="57" t="s">
        <v>617</v>
      </c>
      <c r="AR52" s="229" t="s">
        <v>618</v>
      </c>
      <c r="AS52" s="57" t="s">
        <v>619</v>
      </c>
      <c r="AT52" s="64" t="s">
        <v>404</v>
      </c>
      <c r="AU52" s="353" t="s">
        <v>123</v>
      </c>
      <c r="AV52" s="353"/>
      <c r="AW52" s="353"/>
      <c r="AX52" s="353"/>
      <c r="AY52" s="353"/>
      <c r="AZ52" s="353"/>
      <c r="BA52" s="353"/>
      <c r="BB52" s="57" t="s">
        <v>839</v>
      </c>
      <c r="BC52" s="57" t="s">
        <v>840</v>
      </c>
      <c r="BD52" s="57" t="s">
        <v>621</v>
      </c>
      <c r="BE52" s="57" t="s">
        <v>622</v>
      </c>
      <c r="BF52" s="57" t="s">
        <v>623</v>
      </c>
      <c r="BG52" s="229" t="s">
        <v>842</v>
      </c>
      <c r="BH52" s="57" t="s">
        <v>624</v>
      </c>
      <c r="BI52" s="64" t="s">
        <v>477</v>
      </c>
      <c r="BJ52" s="353" t="s">
        <v>123</v>
      </c>
      <c r="BK52" s="353"/>
      <c r="BL52" s="353"/>
      <c r="BM52" s="353"/>
      <c r="BN52" s="353"/>
      <c r="BO52" s="353"/>
      <c r="BP52" s="353"/>
      <c r="BQ52" s="57" t="s">
        <v>625</v>
      </c>
      <c r="BR52" s="57" t="s">
        <v>626</v>
      </c>
      <c r="BS52" s="57" t="s">
        <v>627</v>
      </c>
      <c r="BT52" s="57" t="s">
        <v>841</v>
      </c>
      <c r="BU52" s="57" t="s">
        <v>628</v>
      </c>
      <c r="BV52" s="229" t="s">
        <v>629</v>
      </c>
      <c r="BW52" s="57" t="s">
        <v>843</v>
      </c>
      <c r="BX52" s="64" t="s">
        <v>741</v>
      </c>
      <c r="BY52" s="353" t="s">
        <v>123</v>
      </c>
      <c r="BZ52" s="353"/>
      <c r="CA52" s="353"/>
      <c r="CB52" s="353"/>
      <c r="CC52" s="353"/>
      <c r="CD52" s="353"/>
      <c r="CE52" s="353"/>
      <c r="CF52" s="57" t="s">
        <v>630</v>
      </c>
      <c r="CG52" s="57" t="s">
        <v>631</v>
      </c>
      <c r="CH52" s="57" t="s">
        <v>844</v>
      </c>
      <c r="CI52" s="57" t="s">
        <v>845</v>
      </c>
      <c r="CJ52" s="57" t="s">
        <v>632</v>
      </c>
      <c r="CK52" s="57" t="s">
        <v>633</v>
      </c>
      <c r="CL52" s="57" t="s">
        <v>634</v>
      </c>
      <c r="CM52" s="64" t="s">
        <v>815</v>
      </c>
      <c r="CN52" s="353" t="s">
        <v>123</v>
      </c>
      <c r="CO52" s="353"/>
      <c r="CP52" s="353"/>
      <c r="CQ52" s="353"/>
      <c r="CR52" s="353"/>
      <c r="CS52" s="353"/>
      <c r="CT52" s="353"/>
      <c r="CU52" s="57" t="s">
        <v>846</v>
      </c>
      <c r="CV52" s="57" t="s">
        <v>847</v>
      </c>
      <c r="CW52" s="57" t="s">
        <v>635</v>
      </c>
      <c r="CX52" s="57" t="s">
        <v>636</v>
      </c>
      <c r="CY52" s="57" t="s">
        <v>883</v>
      </c>
      <c r="CZ52" s="57" t="s">
        <v>637</v>
      </c>
      <c r="DA52" s="57" t="s">
        <v>971</v>
      </c>
      <c r="DB52" s="57" t="s">
        <v>638</v>
      </c>
      <c r="DC52" s="105" t="s">
        <v>972</v>
      </c>
    </row>
    <row r="53" spans="1:107" s="157" customFormat="1" ht="16.5" thickBot="1">
      <c r="A53" s="64" t="s">
        <v>73</v>
      </c>
      <c r="B53" s="154" t="s">
        <v>99</v>
      </c>
      <c r="C53" s="155" t="s">
        <v>114</v>
      </c>
      <c r="D53" s="155"/>
      <c r="E53" s="155"/>
      <c r="F53" s="155"/>
      <c r="G53" s="155"/>
      <c r="H53" s="155"/>
      <c r="I53" s="156">
        <f>SUM(I54:I58)</f>
        <v>151954</v>
      </c>
      <c r="J53" s="156">
        <f aca="true" t="shared" si="99" ref="J53:O53">SUM(J54:J58)</f>
        <v>22000</v>
      </c>
      <c r="K53" s="156">
        <f t="shared" si="99"/>
        <v>144454</v>
      </c>
      <c r="L53" s="156">
        <f t="shared" si="99"/>
        <v>410389</v>
      </c>
      <c r="M53" s="156">
        <f t="shared" si="99"/>
        <v>0</v>
      </c>
      <c r="N53" s="156">
        <f t="shared" si="99"/>
        <v>51005</v>
      </c>
      <c r="O53" s="156">
        <f t="shared" si="99"/>
        <v>0</v>
      </c>
      <c r="P53" s="64" t="s">
        <v>256</v>
      </c>
      <c r="Q53" s="154" t="s">
        <v>99</v>
      </c>
      <c r="R53" s="155" t="s">
        <v>114</v>
      </c>
      <c r="S53" s="155"/>
      <c r="T53" s="155"/>
      <c r="U53" s="155"/>
      <c r="V53" s="155"/>
      <c r="W53" s="155"/>
      <c r="X53" s="156">
        <f aca="true" t="shared" si="100" ref="X53:AD53">SUM(X54:X58)</f>
        <v>0</v>
      </c>
      <c r="Y53" s="156">
        <f t="shared" si="100"/>
        <v>89423</v>
      </c>
      <c r="Z53" s="156">
        <f t="shared" si="100"/>
        <v>180</v>
      </c>
      <c r="AA53" s="156">
        <f t="shared" si="100"/>
        <v>37461</v>
      </c>
      <c r="AB53" s="156">
        <f t="shared" si="100"/>
        <v>46298</v>
      </c>
      <c r="AC53" s="156">
        <f t="shared" si="100"/>
        <v>6350</v>
      </c>
      <c r="AD53" s="156">
        <f t="shared" si="100"/>
        <v>31966</v>
      </c>
      <c r="AE53" s="64" t="s">
        <v>330</v>
      </c>
      <c r="AF53" s="154" t="s">
        <v>99</v>
      </c>
      <c r="AG53" s="155" t="s">
        <v>114</v>
      </c>
      <c r="AH53" s="155"/>
      <c r="AI53" s="155"/>
      <c r="AJ53" s="155"/>
      <c r="AK53" s="155"/>
      <c r="AL53" s="155"/>
      <c r="AM53" s="156">
        <f aca="true" t="shared" si="101" ref="AM53:AS53">SUM(AM54:AM58)</f>
        <v>0</v>
      </c>
      <c r="AN53" s="156">
        <f t="shared" si="101"/>
        <v>33951</v>
      </c>
      <c r="AO53" s="156">
        <f t="shared" si="101"/>
        <v>3914</v>
      </c>
      <c r="AP53" s="156">
        <f t="shared" si="101"/>
        <v>1100</v>
      </c>
      <c r="AQ53" s="156">
        <f t="shared" si="101"/>
        <v>48390</v>
      </c>
      <c r="AR53" s="156">
        <f t="shared" si="101"/>
        <v>34955</v>
      </c>
      <c r="AS53" s="156">
        <f t="shared" si="101"/>
        <v>0</v>
      </c>
      <c r="AT53" s="64" t="s">
        <v>405</v>
      </c>
      <c r="AU53" s="154" t="s">
        <v>99</v>
      </c>
      <c r="AV53" s="155" t="s">
        <v>114</v>
      </c>
      <c r="AW53" s="155"/>
      <c r="AX53" s="155"/>
      <c r="AY53" s="155"/>
      <c r="AZ53" s="155"/>
      <c r="BA53" s="155"/>
      <c r="BB53" s="156">
        <f aca="true" t="shared" si="102" ref="BB53:BH53">SUM(BB54:BB58)</f>
        <v>2690</v>
      </c>
      <c r="BC53" s="156">
        <f t="shared" si="102"/>
        <v>0</v>
      </c>
      <c r="BD53" s="156">
        <f t="shared" si="102"/>
        <v>2350</v>
      </c>
      <c r="BE53" s="156">
        <f t="shared" si="102"/>
        <v>71000</v>
      </c>
      <c r="BF53" s="156">
        <f t="shared" si="102"/>
        <v>54451</v>
      </c>
      <c r="BG53" s="156">
        <f t="shared" si="102"/>
        <v>0</v>
      </c>
      <c r="BH53" s="156">
        <f t="shared" si="102"/>
        <v>3500</v>
      </c>
      <c r="BI53" s="64" t="s">
        <v>478</v>
      </c>
      <c r="BJ53" s="154" t="s">
        <v>99</v>
      </c>
      <c r="BK53" s="155" t="s">
        <v>114</v>
      </c>
      <c r="BL53" s="155"/>
      <c r="BM53" s="155"/>
      <c r="BN53" s="155"/>
      <c r="BO53" s="155"/>
      <c r="BP53" s="155"/>
      <c r="BQ53" s="156">
        <f aca="true" t="shared" si="103" ref="BQ53:BW53">SUM(BQ54:BQ58)</f>
        <v>2000</v>
      </c>
      <c r="BR53" s="156">
        <f t="shared" si="103"/>
        <v>29442</v>
      </c>
      <c r="BS53" s="156">
        <f t="shared" si="103"/>
        <v>14860</v>
      </c>
      <c r="BT53" s="156">
        <f t="shared" si="103"/>
        <v>2331</v>
      </c>
      <c r="BU53" s="156">
        <f t="shared" si="103"/>
        <v>38836</v>
      </c>
      <c r="BV53" s="156">
        <f t="shared" si="103"/>
        <v>800</v>
      </c>
      <c r="BW53" s="156">
        <f t="shared" si="103"/>
        <v>56729</v>
      </c>
      <c r="BX53" s="64" t="s">
        <v>742</v>
      </c>
      <c r="BY53" s="154" t="s">
        <v>99</v>
      </c>
      <c r="BZ53" s="155" t="s">
        <v>114</v>
      </c>
      <c r="CA53" s="155"/>
      <c r="CB53" s="155"/>
      <c r="CC53" s="155"/>
      <c r="CD53" s="155"/>
      <c r="CE53" s="155"/>
      <c r="CF53" s="156">
        <f aca="true" t="shared" si="104" ref="CF53:CL53">SUM(CF54:CF58)</f>
        <v>24153</v>
      </c>
      <c r="CG53" s="156">
        <f t="shared" si="104"/>
        <v>21710</v>
      </c>
      <c r="CH53" s="156">
        <f t="shared" si="104"/>
        <v>2250</v>
      </c>
      <c r="CI53" s="156">
        <f t="shared" si="104"/>
        <v>9500</v>
      </c>
      <c r="CJ53" s="156">
        <f t="shared" si="104"/>
        <v>4525</v>
      </c>
      <c r="CK53" s="156">
        <f t="shared" si="104"/>
        <v>2500</v>
      </c>
      <c r="CL53" s="156">
        <f t="shared" si="104"/>
        <v>6680</v>
      </c>
      <c r="CM53" s="64" t="s">
        <v>816</v>
      </c>
      <c r="CN53" s="154" t="s">
        <v>99</v>
      </c>
      <c r="CO53" s="155" t="s">
        <v>114</v>
      </c>
      <c r="CP53" s="155"/>
      <c r="CQ53" s="155"/>
      <c r="CR53" s="155"/>
      <c r="CS53" s="155"/>
      <c r="CT53" s="155"/>
      <c r="CU53" s="156">
        <f aca="true" t="shared" si="105" ref="CU53:DB53">SUM(CU54:CU58)</f>
        <v>2792</v>
      </c>
      <c r="CV53" s="156">
        <f t="shared" si="105"/>
        <v>8060</v>
      </c>
      <c r="CW53" s="156">
        <f t="shared" si="105"/>
        <v>320</v>
      </c>
      <c r="CX53" s="156">
        <f t="shared" si="105"/>
        <v>1448</v>
      </c>
      <c r="CY53" s="156">
        <f t="shared" si="105"/>
        <v>3000</v>
      </c>
      <c r="CZ53" s="156">
        <f t="shared" si="105"/>
        <v>10924</v>
      </c>
      <c r="DA53" s="156">
        <f>SUM(DA54:DA58)</f>
        <v>0</v>
      </c>
      <c r="DB53" s="156">
        <f t="shared" si="105"/>
        <v>30326</v>
      </c>
      <c r="DC53" s="156">
        <f aca="true" t="shared" si="106" ref="DC53:DC77">SUM(I53:O53,X53:AD53,AM53:AS53,BB53:BH53,BQ53:BW53,CF53:CL53,CU53:DB53)</f>
        <v>1520967</v>
      </c>
    </row>
    <row r="54" spans="1:107" s="157" customFormat="1" ht="16.5" thickBot="1">
      <c r="A54" s="64" t="s">
        <v>74</v>
      </c>
      <c r="B54" s="158"/>
      <c r="C54" s="159" t="s">
        <v>101</v>
      </c>
      <c r="D54" s="160" t="s">
        <v>115</v>
      </c>
      <c r="E54" s="160"/>
      <c r="F54" s="160"/>
      <c r="G54" s="160"/>
      <c r="H54" s="161"/>
      <c r="I54" s="162">
        <f>36175+Javaslat!N136</f>
        <v>38913</v>
      </c>
      <c r="J54" s="162"/>
      <c r="K54" s="162">
        <v>2886</v>
      </c>
      <c r="L54" s="162"/>
      <c r="M54" s="162"/>
      <c r="N54" s="162">
        <f>8351+Javaslat!N198</f>
        <v>7781</v>
      </c>
      <c r="O54" s="162"/>
      <c r="P54" s="64" t="s">
        <v>257</v>
      </c>
      <c r="Q54" s="158"/>
      <c r="R54" s="159" t="s">
        <v>101</v>
      </c>
      <c r="S54" s="160" t="s">
        <v>115</v>
      </c>
      <c r="T54" s="160"/>
      <c r="U54" s="160"/>
      <c r="V54" s="160"/>
      <c r="W54" s="161"/>
      <c r="X54" s="162"/>
      <c r="Y54" s="162"/>
      <c r="Z54" s="162"/>
      <c r="AA54" s="162">
        <f>23875+Javaslat!N216</f>
        <v>32579</v>
      </c>
      <c r="AB54" s="162">
        <f>19692+Javaslat!N231</f>
        <v>39137</v>
      </c>
      <c r="AC54" s="162"/>
      <c r="AD54" s="162"/>
      <c r="AE54" s="64" t="s">
        <v>331</v>
      </c>
      <c r="AF54" s="158"/>
      <c r="AG54" s="159" t="s">
        <v>101</v>
      </c>
      <c r="AH54" s="160" t="s">
        <v>115</v>
      </c>
      <c r="AI54" s="160"/>
      <c r="AJ54" s="160"/>
      <c r="AK54" s="160"/>
      <c r="AL54" s="161"/>
      <c r="AM54" s="162"/>
      <c r="AN54" s="162"/>
      <c r="AO54" s="162"/>
      <c r="AP54" s="162"/>
      <c r="AQ54" s="162"/>
      <c r="AR54" s="162"/>
      <c r="AS54" s="162"/>
      <c r="AT54" s="64" t="s">
        <v>406</v>
      </c>
      <c r="AU54" s="158"/>
      <c r="AV54" s="159" t="s">
        <v>101</v>
      </c>
      <c r="AW54" s="160" t="s">
        <v>115</v>
      </c>
      <c r="AX54" s="160"/>
      <c r="AY54" s="160"/>
      <c r="AZ54" s="160"/>
      <c r="BA54" s="161"/>
      <c r="BB54" s="162"/>
      <c r="BC54" s="162"/>
      <c r="BD54" s="162"/>
      <c r="BE54" s="162"/>
      <c r="BF54" s="162"/>
      <c r="BG54" s="162"/>
      <c r="BH54" s="162"/>
      <c r="BI54" s="64" t="s">
        <v>479</v>
      </c>
      <c r="BJ54" s="158"/>
      <c r="BK54" s="159" t="s">
        <v>101</v>
      </c>
      <c r="BL54" s="160" t="s">
        <v>115</v>
      </c>
      <c r="BM54" s="160"/>
      <c r="BN54" s="160"/>
      <c r="BO54" s="160"/>
      <c r="BP54" s="161"/>
      <c r="BQ54" s="162"/>
      <c r="BR54" s="162">
        <f>17958+Javaslat!N294</f>
        <v>19902</v>
      </c>
      <c r="BS54" s="162">
        <v>9279</v>
      </c>
      <c r="BT54" s="162"/>
      <c r="BU54" s="162"/>
      <c r="BV54" s="162"/>
      <c r="BW54" s="162"/>
      <c r="BX54" s="64" t="s">
        <v>743</v>
      </c>
      <c r="BY54" s="158"/>
      <c r="BZ54" s="159" t="s">
        <v>101</v>
      </c>
      <c r="CA54" s="160" t="s">
        <v>115</v>
      </c>
      <c r="CB54" s="160"/>
      <c r="CC54" s="160"/>
      <c r="CD54" s="160"/>
      <c r="CE54" s="161"/>
      <c r="CF54" s="162"/>
      <c r="CG54" s="162"/>
      <c r="CH54" s="162"/>
      <c r="CI54" s="162"/>
      <c r="CJ54" s="162">
        <f>Javaslat!N338</f>
        <v>1000</v>
      </c>
      <c r="CK54" s="162">
        <v>1500</v>
      </c>
      <c r="CL54" s="162"/>
      <c r="CM54" s="64" t="s">
        <v>817</v>
      </c>
      <c r="CN54" s="158"/>
      <c r="CO54" s="159" t="s">
        <v>101</v>
      </c>
      <c r="CP54" s="160" t="s">
        <v>115</v>
      </c>
      <c r="CQ54" s="160"/>
      <c r="CR54" s="160"/>
      <c r="CS54" s="160"/>
      <c r="CT54" s="161"/>
      <c r="CU54" s="162"/>
      <c r="CV54" s="162"/>
      <c r="CW54" s="162">
        <v>320</v>
      </c>
      <c r="CX54" s="162"/>
      <c r="CY54" s="162"/>
      <c r="CZ54" s="162"/>
      <c r="DA54" s="162"/>
      <c r="DB54" s="162"/>
      <c r="DC54" s="162">
        <f t="shared" si="106"/>
        <v>153297</v>
      </c>
    </row>
    <row r="55" spans="1:107" s="157" customFormat="1" ht="16.5" thickBot="1">
      <c r="A55" s="64" t="s">
        <v>75</v>
      </c>
      <c r="B55" s="158"/>
      <c r="C55" s="159" t="s">
        <v>103</v>
      </c>
      <c r="D55" s="163" t="s">
        <v>575</v>
      </c>
      <c r="E55" s="164"/>
      <c r="F55" s="163"/>
      <c r="G55" s="163"/>
      <c r="H55" s="165"/>
      <c r="I55" s="166">
        <f>9455+Javaslat!N140</f>
        <v>10159</v>
      </c>
      <c r="J55" s="166"/>
      <c r="K55" s="166">
        <v>779</v>
      </c>
      <c r="L55" s="166"/>
      <c r="M55" s="166"/>
      <c r="N55" s="166">
        <v>1433</v>
      </c>
      <c r="O55" s="166"/>
      <c r="P55" s="64" t="s">
        <v>258</v>
      </c>
      <c r="Q55" s="158"/>
      <c r="R55" s="159" t="s">
        <v>103</v>
      </c>
      <c r="S55" s="163" t="s">
        <v>575</v>
      </c>
      <c r="T55" s="164"/>
      <c r="U55" s="163"/>
      <c r="V55" s="163"/>
      <c r="W55" s="165"/>
      <c r="X55" s="166"/>
      <c r="Y55" s="166"/>
      <c r="Z55" s="166"/>
      <c r="AA55" s="166">
        <f>3273+Javaslat!N219</f>
        <v>4688</v>
      </c>
      <c r="AB55" s="166">
        <f>2843+Javaslat!N235</f>
        <v>5469</v>
      </c>
      <c r="AC55" s="166"/>
      <c r="AD55" s="166"/>
      <c r="AE55" s="64" t="s">
        <v>332</v>
      </c>
      <c r="AF55" s="158"/>
      <c r="AG55" s="159" t="s">
        <v>103</v>
      </c>
      <c r="AH55" s="163" t="s">
        <v>575</v>
      </c>
      <c r="AI55" s="164"/>
      <c r="AJ55" s="163"/>
      <c r="AK55" s="163"/>
      <c r="AL55" s="165"/>
      <c r="AM55" s="166"/>
      <c r="AN55" s="166"/>
      <c r="AO55" s="166"/>
      <c r="AP55" s="166"/>
      <c r="AQ55" s="166"/>
      <c r="AR55" s="166"/>
      <c r="AS55" s="166"/>
      <c r="AT55" s="64" t="s">
        <v>407</v>
      </c>
      <c r="AU55" s="158"/>
      <c r="AV55" s="159" t="s">
        <v>103</v>
      </c>
      <c r="AW55" s="163" t="s">
        <v>575</v>
      </c>
      <c r="AX55" s="164"/>
      <c r="AY55" s="163"/>
      <c r="AZ55" s="163"/>
      <c r="BA55" s="165"/>
      <c r="BB55" s="166"/>
      <c r="BC55" s="166"/>
      <c r="BD55" s="166"/>
      <c r="BE55" s="166"/>
      <c r="BF55" s="166"/>
      <c r="BG55" s="166"/>
      <c r="BH55" s="166"/>
      <c r="BI55" s="64" t="s">
        <v>480</v>
      </c>
      <c r="BJ55" s="158"/>
      <c r="BK55" s="159" t="s">
        <v>103</v>
      </c>
      <c r="BL55" s="163" t="s">
        <v>575</v>
      </c>
      <c r="BM55" s="164"/>
      <c r="BN55" s="163"/>
      <c r="BO55" s="163"/>
      <c r="BP55" s="165"/>
      <c r="BQ55" s="166"/>
      <c r="BR55" s="166">
        <f>4852+Javaslat!N298</f>
        <v>5377</v>
      </c>
      <c r="BS55" s="166">
        <v>2543</v>
      </c>
      <c r="BT55" s="166"/>
      <c r="BU55" s="166"/>
      <c r="BV55" s="166"/>
      <c r="BW55" s="166"/>
      <c r="BX55" s="64" t="s">
        <v>744</v>
      </c>
      <c r="BY55" s="158"/>
      <c r="BZ55" s="159" t="s">
        <v>103</v>
      </c>
      <c r="CA55" s="163" t="s">
        <v>575</v>
      </c>
      <c r="CB55" s="164"/>
      <c r="CC55" s="163"/>
      <c r="CD55" s="163"/>
      <c r="CE55" s="165"/>
      <c r="CF55" s="166"/>
      <c r="CG55" s="166"/>
      <c r="CH55" s="166"/>
      <c r="CI55" s="166"/>
      <c r="CJ55" s="166"/>
      <c r="CK55" s="166"/>
      <c r="CL55" s="166"/>
      <c r="CM55" s="64" t="s">
        <v>818</v>
      </c>
      <c r="CN55" s="158"/>
      <c r="CO55" s="159" t="s">
        <v>103</v>
      </c>
      <c r="CP55" s="163" t="s">
        <v>575</v>
      </c>
      <c r="CQ55" s="164"/>
      <c r="CR55" s="163"/>
      <c r="CS55" s="163"/>
      <c r="CT55" s="165"/>
      <c r="CU55" s="166"/>
      <c r="CV55" s="166"/>
      <c r="CW55" s="166"/>
      <c r="CX55" s="166"/>
      <c r="CY55" s="166"/>
      <c r="CZ55" s="166"/>
      <c r="DA55" s="166"/>
      <c r="DB55" s="166"/>
      <c r="DC55" s="166">
        <f t="shared" si="106"/>
        <v>30448</v>
      </c>
    </row>
    <row r="56" spans="1:107" s="157" customFormat="1" ht="16.5" thickBot="1">
      <c r="A56" s="64" t="s">
        <v>76</v>
      </c>
      <c r="B56" s="158"/>
      <c r="C56" s="159" t="s">
        <v>104</v>
      </c>
      <c r="D56" s="163" t="s">
        <v>576</v>
      </c>
      <c r="E56" s="164"/>
      <c r="F56" s="163"/>
      <c r="G56" s="163"/>
      <c r="H56" s="165"/>
      <c r="I56" s="166">
        <f>79360+Javaslat!N130</f>
        <v>82588</v>
      </c>
      <c r="J56" s="166">
        <v>22000</v>
      </c>
      <c r="K56" s="166">
        <v>140789</v>
      </c>
      <c r="L56" s="166"/>
      <c r="M56" s="166"/>
      <c r="N56" s="166">
        <f>41243+Javaslat!N202</f>
        <v>41791</v>
      </c>
      <c r="O56" s="166"/>
      <c r="P56" s="64" t="s">
        <v>259</v>
      </c>
      <c r="Q56" s="158"/>
      <c r="R56" s="159" t="s">
        <v>104</v>
      </c>
      <c r="S56" s="163" t="s">
        <v>576</v>
      </c>
      <c r="T56" s="164"/>
      <c r="U56" s="163"/>
      <c r="V56" s="163"/>
      <c r="W56" s="165"/>
      <c r="X56" s="166"/>
      <c r="Y56" s="166"/>
      <c r="Z56" s="166">
        <v>180</v>
      </c>
      <c r="AA56" s="166">
        <f>Javaslat!N223</f>
        <v>194</v>
      </c>
      <c r="AB56" s="166">
        <f>Javaslat!N239</f>
        <v>1692</v>
      </c>
      <c r="AC56" s="166">
        <v>6350</v>
      </c>
      <c r="AD56" s="166"/>
      <c r="AE56" s="64" t="s">
        <v>333</v>
      </c>
      <c r="AF56" s="158"/>
      <c r="AG56" s="159" t="s">
        <v>104</v>
      </c>
      <c r="AH56" s="163" t="s">
        <v>576</v>
      </c>
      <c r="AI56" s="164"/>
      <c r="AJ56" s="163"/>
      <c r="AK56" s="163"/>
      <c r="AL56" s="165"/>
      <c r="AM56" s="166"/>
      <c r="AN56" s="166">
        <v>33951</v>
      </c>
      <c r="AO56" s="166">
        <v>3914</v>
      </c>
      <c r="AP56" s="166">
        <v>1100</v>
      </c>
      <c r="AQ56" s="166">
        <f>47690+Javaslat!N263</f>
        <v>46890</v>
      </c>
      <c r="AR56" s="166">
        <f>34316+Javaslat!N271</f>
        <v>34955</v>
      </c>
      <c r="AS56" s="166"/>
      <c r="AT56" s="64" t="s">
        <v>408</v>
      </c>
      <c r="AU56" s="158"/>
      <c r="AV56" s="159" t="s">
        <v>104</v>
      </c>
      <c r="AW56" s="163" t="s">
        <v>576</v>
      </c>
      <c r="AX56" s="164"/>
      <c r="AY56" s="163"/>
      <c r="AZ56" s="163"/>
      <c r="BA56" s="165"/>
      <c r="BB56" s="166">
        <v>2690</v>
      </c>
      <c r="BC56" s="166"/>
      <c r="BD56" s="166">
        <f>2000+Javaslat!N279</f>
        <v>2350</v>
      </c>
      <c r="BE56" s="166">
        <v>71000</v>
      </c>
      <c r="BF56" s="166">
        <v>54451</v>
      </c>
      <c r="BG56" s="166"/>
      <c r="BH56" s="166"/>
      <c r="BI56" s="64" t="s">
        <v>481</v>
      </c>
      <c r="BJ56" s="158"/>
      <c r="BK56" s="159" t="s">
        <v>104</v>
      </c>
      <c r="BL56" s="163" t="s">
        <v>576</v>
      </c>
      <c r="BM56" s="164"/>
      <c r="BN56" s="163"/>
      <c r="BO56" s="163"/>
      <c r="BP56" s="165"/>
      <c r="BQ56" s="166"/>
      <c r="BR56" s="166">
        <f>4337+Javaslat!N302</f>
        <v>4163</v>
      </c>
      <c r="BS56" s="166">
        <v>216</v>
      </c>
      <c r="BT56" s="166">
        <v>2331</v>
      </c>
      <c r="BU56" s="166"/>
      <c r="BV56" s="166">
        <v>500</v>
      </c>
      <c r="BW56" s="166"/>
      <c r="BX56" s="64" t="s">
        <v>745</v>
      </c>
      <c r="BY56" s="158"/>
      <c r="BZ56" s="159" t="s">
        <v>104</v>
      </c>
      <c r="CA56" s="163" t="s">
        <v>576</v>
      </c>
      <c r="CB56" s="164"/>
      <c r="CC56" s="163"/>
      <c r="CD56" s="163"/>
      <c r="CE56" s="165"/>
      <c r="CF56" s="166"/>
      <c r="CG56" s="166"/>
      <c r="CH56" s="166"/>
      <c r="CI56" s="166"/>
      <c r="CJ56" s="166">
        <v>3525</v>
      </c>
      <c r="CK56" s="166"/>
      <c r="CL56" s="166"/>
      <c r="CM56" s="64" t="s">
        <v>819</v>
      </c>
      <c r="CN56" s="158"/>
      <c r="CO56" s="159" t="s">
        <v>104</v>
      </c>
      <c r="CP56" s="163" t="s">
        <v>576</v>
      </c>
      <c r="CQ56" s="164"/>
      <c r="CR56" s="163"/>
      <c r="CS56" s="163"/>
      <c r="CT56" s="165"/>
      <c r="CU56" s="166"/>
      <c r="CV56" s="166"/>
      <c r="CW56" s="166"/>
      <c r="CX56" s="166">
        <v>1448</v>
      </c>
      <c r="CY56" s="166"/>
      <c r="CZ56" s="166"/>
      <c r="DA56" s="166"/>
      <c r="DB56" s="166"/>
      <c r="DC56" s="166">
        <f t="shared" si="106"/>
        <v>559068</v>
      </c>
    </row>
    <row r="57" spans="1:107" s="157" customFormat="1" ht="16.5" thickBot="1">
      <c r="A57" s="64" t="s">
        <v>77</v>
      </c>
      <c r="B57" s="158"/>
      <c r="C57" s="159" t="s">
        <v>106</v>
      </c>
      <c r="D57" s="167" t="s">
        <v>596</v>
      </c>
      <c r="E57" s="168"/>
      <c r="F57" s="168"/>
      <c r="G57" s="167"/>
      <c r="H57" s="169"/>
      <c r="I57" s="187"/>
      <c r="J57" s="187"/>
      <c r="K57" s="187"/>
      <c r="L57" s="187"/>
      <c r="M57" s="187"/>
      <c r="N57" s="187"/>
      <c r="O57" s="187"/>
      <c r="P57" s="64" t="s">
        <v>260</v>
      </c>
      <c r="Q57" s="158"/>
      <c r="R57" s="159" t="s">
        <v>106</v>
      </c>
      <c r="S57" s="167" t="s">
        <v>596</v>
      </c>
      <c r="T57" s="168"/>
      <c r="U57" s="168"/>
      <c r="V57" s="167"/>
      <c r="W57" s="169"/>
      <c r="X57" s="187"/>
      <c r="Y57" s="187"/>
      <c r="Z57" s="187"/>
      <c r="AA57" s="187"/>
      <c r="AB57" s="187"/>
      <c r="AC57" s="187"/>
      <c r="AD57" s="187"/>
      <c r="AE57" s="64" t="s">
        <v>334</v>
      </c>
      <c r="AF57" s="158"/>
      <c r="AG57" s="159" t="s">
        <v>106</v>
      </c>
      <c r="AH57" s="167" t="s">
        <v>596</v>
      </c>
      <c r="AI57" s="168"/>
      <c r="AJ57" s="168"/>
      <c r="AK57" s="167"/>
      <c r="AL57" s="169"/>
      <c r="AM57" s="187"/>
      <c r="AN57" s="187"/>
      <c r="AO57" s="187"/>
      <c r="AP57" s="187"/>
      <c r="AQ57" s="187"/>
      <c r="AR57" s="187"/>
      <c r="AS57" s="187"/>
      <c r="AT57" s="64" t="s">
        <v>409</v>
      </c>
      <c r="AU57" s="158"/>
      <c r="AV57" s="159" t="s">
        <v>106</v>
      </c>
      <c r="AW57" s="167" t="s">
        <v>596</v>
      </c>
      <c r="AX57" s="168"/>
      <c r="AY57" s="168"/>
      <c r="AZ57" s="167"/>
      <c r="BA57" s="169"/>
      <c r="BB57" s="187"/>
      <c r="BC57" s="187"/>
      <c r="BD57" s="187"/>
      <c r="BE57" s="187"/>
      <c r="BF57" s="187"/>
      <c r="BG57" s="187"/>
      <c r="BH57" s="187"/>
      <c r="BI57" s="64" t="s">
        <v>482</v>
      </c>
      <c r="BJ57" s="158"/>
      <c r="BK57" s="159" t="s">
        <v>106</v>
      </c>
      <c r="BL57" s="167" t="s">
        <v>596</v>
      </c>
      <c r="BM57" s="168"/>
      <c r="BN57" s="168"/>
      <c r="BO57" s="167"/>
      <c r="BP57" s="169"/>
      <c r="BQ57" s="187"/>
      <c r="BR57" s="187"/>
      <c r="BS57" s="187">
        <v>2822</v>
      </c>
      <c r="BT57" s="187"/>
      <c r="BU57" s="187"/>
      <c r="BV57" s="187"/>
      <c r="BW57" s="187"/>
      <c r="BX57" s="64" t="s">
        <v>746</v>
      </c>
      <c r="BY57" s="158"/>
      <c r="BZ57" s="159" t="s">
        <v>106</v>
      </c>
      <c r="CA57" s="167" t="s">
        <v>596</v>
      </c>
      <c r="CB57" s="168"/>
      <c r="CC57" s="168"/>
      <c r="CD57" s="167"/>
      <c r="CE57" s="169"/>
      <c r="CF57" s="187"/>
      <c r="CG57" s="187"/>
      <c r="CH57" s="187"/>
      <c r="CI57" s="187"/>
      <c r="CJ57" s="187"/>
      <c r="CK57" s="187"/>
      <c r="CL57" s="187">
        <v>6680</v>
      </c>
      <c r="CM57" s="64" t="s">
        <v>820</v>
      </c>
      <c r="CN57" s="158"/>
      <c r="CO57" s="159" t="s">
        <v>106</v>
      </c>
      <c r="CP57" s="167" t="s">
        <v>596</v>
      </c>
      <c r="CQ57" s="168"/>
      <c r="CR57" s="168"/>
      <c r="CS57" s="167"/>
      <c r="CT57" s="169"/>
      <c r="CU57" s="187">
        <v>2792</v>
      </c>
      <c r="CV57" s="187">
        <v>8060</v>
      </c>
      <c r="CW57" s="187"/>
      <c r="CX57" s="187"/>
      <c r="CY57" s="187">
        <v>3000</v>
      </c>
      <c r="CZ57" s="187">
        <v>10900</v>
      </c>
      <c r="DA57" s="187"/>
      <c r="DB57" s="187"/>
      <c r="DC57" s="187">
        <f t="shared" si="106"/>
        <v>34254</v>
      </c>
    </row>
    <row r="58" spans="1:107" s="157" customFormat="1" ht="16.5" thickBot="1">
      <c r="A58" s="64" t="s">
        <v>78</v>
      </c>
      <c r="B58" s="158"/>
      <c r="C58" s="159" t="s">
        <v>105</v>
      </c>
      <c r="D58" s="163" t="s">
        <v>577</v>
      </c>
      <c r="E58" s="164"/>
      <c r="F58" s="163"/>
      <c r="G58" s="163"/>
      <c r="H58" s="165"/>
      <c r="I58" s="166">
        <f>SUM(I59:I63)</f>
        <v>20294</v>
      </c>
      <c r="J58" s="166">
        <f aca="true" t="shared" si="107" ref="J58:O58">SUM(J59:J63)</f>
        <v>0</v>
      </c>
      <c r="K58" s="166">
        <f t="shared" si="107"/>
        <v>0</v>
      </c>
      <c r="L58" s="166">
        <f t="shared" si="107"/>
        <v>410389</v>
      </c>
      <c r="M58" s="166">
        <f t="shared" si="107"/>
        <v>0</v>
      </c>
      <c r="N58" s="166">
        <f t="shared" si="107"/>
        <v>0</v>
      </c>
      <c r="O58" s="166">
        <f t="shared" si="107"/>
        <v>0</v>
      </c>
      <c r="P58" s="64" t="s">
        <v>261</v>
      </c>
      <c r="Q58" s="158"/>
      <c r="R58" s="159" t="s">
        <v>105</v>
      </c>
      <c r="S58" s="163" t="s">
        <v>577</v>
      </c>
      <c r="T58" s="164"/>
      <c r="U58" s="163"/>
      <c r="V58" s="163"/>
      <c r="W58" s="165"/>
      <c r="X58" s="166">
        <f aca="true" t="shared" si="108" ref="X58:AD58">SUM(X59:X63)</f>
        <v>0</v>
      </c>
      <c r="Y58" s="166">
        <f t="shared" si="108"/>
        <v>89423</v>
      </c>
      <c r="Z58" s="166">
        <f t="shared" si="108"/>
        <v>0</v>
      </c>
      <c r="AA58" s="166">
        <f t="shared" si="108"/>
        <v>0</v>
      </c>
      <c r="AB58" s="166">
        <f t="shared" si="108"/>
        <v>0</v>
      </c>
      <c r="AC58" s="166">
        <f t="shared" si="108"/>
        <v>0</v>
      </c>
      <c r="AD58" s="166">
        <f t="shared" si="108"/>
        <v>31966</v>
      </c>
      <c r="AE58" s="64" t="s">
        <v>335</v>
      </c>
      <c r="AF58" s="158"/>
      <c r="AG58" s="159" t="s">
        <v>105</v>
      </c>
      <c r="AH58" s="163" t="s">
        <v>577</v>
      </c>
      <c r="AI58" s="164"/>
      <c r="AJ58" s="163"/>
      <c r="AK58" s="163"/>
      <c r="AL58" s="165"/>
      <c r="AM58" s="166">
        <f aca="true" t="shared" si="109" ref="AM58:AS58">SUM(AM59:AM63)</f>
        <v>0</v>
      </c>
      <c r="AN58" s="166">
        <f t="shared" si="109"/>
        <v>0</v>
      </c>
      <c r="AO58" s="166">
        <f t="shared" si="109"/>
        <v>0</v>
      </c>
      <c r="AP58" s="166">
        <f t="shared" si="109"/>
        <v>0</v>
      </c>
      <c r="AQ58" s="166">
        <f t="shared" si="109"/>
        <v>1500</v>
      </c>
      <c r="AR58" s="166">
        <f t="shared" si="109"/>
        <v>0</v>
      </c>
      <c r="AS58" s="166">
        <f t="shared" si="109"/>
        <v>0</v>
      </c>
      <c r="AT58" s="64" t="s">
        <v>410</v>
      </c>
      <c r="AU58" s="158"/>
      <c r="AV58" s="159" t="s">
        <v>105</v>
      </c>
      <c r="AW58" s="163" t="s">
        <v>577</v>
      </c>
      <c r="AX58" s="164"/>
      <c r="AY58" s="163"/>
      <c r="AZ58" s="163"/>
      <c r="BA58" s="165"/>
      <c r="BB58" s="166">
        <f aca="true" t="shared" si="110" ref="BB58:BH58">SUM(BB59:BB63)</f>
        <v>0</v>
      </c>
      <c r="BC58" s="166">
        <f t="shared" si="110"/>
        <v>0</v>
      </c>
      <c r="BD58" s="166">
        <f t="shared" si="110"/>
        <v>0</v>
      </c>
      <c r="BE58" s="166">
        <f t="shared" si="110"/>
        <v>0</v>
      </c>
      <c r="BF58" s="166">
        <f t="shared" si="110"/>
        <v>0</v>
      </c>
      <c r="BG58" s="166">
        <f t="shared" si="110"/>
        <v>0</v>
      </c>
      <c r="BH58" s="166">
        <f t="shared" si="110"/>
        <v>3500</v>
      </c>
      <c r="BI58" s="64" t="s">
        <v>483</v>
      </c>
      <c r="BJ58" s="158"/>
      <c r="BK58" s="159" t="s">
        <v>105</v>
      </c>
      <c r="BL58" s="163" t="s">
        <v>577</v>
      </c>
      <c r="BM58" s="164"/>
      <c r="BN58" s="163"/>
      <c r="BO58" s="163"/>
      <c r="BP58" s="165"/>
      <c r="BQ58" s="166">
        <f aca="true" t="shared" si="111" ref="BQ58:BW58">SUM(BQ59:BQ63)</f>
        <v>2000</v>
      </c>
      <c r="BR58" s="166">
        <f t="shared" si="111"/>
        <v>0</v>
      </c>
      <c r="BS58" s="166">
        <f t="shared" si="111"/>
        <v>0</v>
      </c>
      <c r="BT58" s="166">
        <f t="shared" si="111"/>
        <v>0</v>
      </c>
      <c r="BU58" s="166">
        <f t="shared" si="111"/>
        <v>38836</v>
      </c>
      <c r="BV58" s="166">
        <f t="shared" si="111"/>
        <v>300</v>
      </c>
      <c r="BW58" s="166">
        <f t="shared" si="111"/>
        <v>56729</v>
      </c>
      <c r="BX58" s="64" t="s">
        <v>747</v>
      </c>
      <c r="BY58" s="158"/>
      <c r="BZ58" s="159" t="s">
        <v>105</v>
      </c>
      <c r="CA58" s="163" t="s">
        <v>577</v>
      </c>
      <c r="CB58" s="164"/>
      <c r="CC58" s="163"/>
      <c r="CD58" s="163"/>
      <c r="CE58" s="165"/>
      <c r="CF58" s="166">
        <f aca="true" t="shared" si="112" ref="CF58:CL58">SUM(CF59:CF63)</f>
        <v>24153</v>
      </c>
      <c r="CG58" s="166">
        <f t="shared" si="112"/>
        <v>21710</v>
      </c>
      <c r="CH58" s="166">
        <f t="shared" si="112"/>
        <v>2250</v>
      </c>
      <c r="CI58" s="166">
        <f t="shared" si="112"/>
        <v>9500</v>
      </c>
      <c r="CJ58" s="166">
        <f t="shared" si="112"/>
        <v>0</v>
      </c>
      <c r="CK58" s="166">
        <f t="shared" si="112"/>
        <v>1000</v>
      </c>
      <c r="CL58" s="166">
        <f t="shared" si="112"/>
        <v>0</v>
      </c>
      <c r="CM58" s="64" t="s">
        <v>821</v>
      </c>
      <c r="CN58" s="158"/>
      <c r="CO58" s="159" t="s">
        <v>105</v>
      </c>
      <c r="CP58" s="163" t="s">
        <v>577</v>
      </c>
      <c r="CQ58" s="164"/>
      <c r="CR58" s="163"/>
      <c r="CS58" s="163"/>
      <c r="CT58" s="165"/>
      <c r="CU58" s="166">
        <f aca="true" t="shared" si="113" ref="CU58:DB58">SUM(CU59:CU63)</f>
        <v>0</v>
      </c>
      <c r="CV58" s="166">
        <f t="shared" si="113"/>
        <v>0</v>
      </c>
      <c r="CW58" s="166">
        <f t="shared" si="113"/>
        <v>0</v>
      </c>
      <c r="CX58" s="166">
        <f t="shared" si="113"/>
        <v>0</v>
      </c>
      <c r="CY58" s="166">
        <f t="shared" si="113"/>
        <v>0</v>
      </c>
      <c r="CZ58" s="166">
        <f t="shared" si="113"/>
        <v>24</v>
      </c>
      <c r="DA58" s="166">
        <f>SUM(DA59:DA63)</f>
        <v>0</v>
      </c>
      <c r="DB58" s="166">
        <f t="shared" si="113"/>
        <v>30326</v>
      </c>
      <c r="DC58" s="166">
        <f t="shared" si="106"/>
        <v>743900</v>
      </c>
    </row>
    <row r="59" spans="1:107" s="62" customFormat="1" ht="15" thickBot="1">
      <c r="A59" s="64" t="s">
        <v>80</v>
      </c>
      <c r="B59" s="121"/>
      <c r="C59" s="122"/>
      <c r="D59" s="123" t="s">
        <v>710</v>
      </c>
      <c r="E59" s="124" t="s">
        <v>708</v>
      </c>
      <c r="F59" s="124"/>
      <c r="G59" s="124"/>
      <c r="H59" s="125"/>
      <c r="I59" s="102">
        <v>1794</v>
      </c>
      <c r="J59" s="102"/>
      <c r="K59" s="102"/>
      <c r="L59" s="102">
        <f>436857+Javaslat!N174</f>
        <v>410389</v>
      </c>
      <c r="M59" s="102"/>
      <c r="N59" s="102"/>
      <c r="O59" s="102"/>
      <c r="P59" s="64" t="s">
        <v>262</v>
      </c>
      <c r="Q59" s="121"/>
      <c r="R59" s="122"/>
      <c r="S59" s="123" t="s">
        <v>710</v>
      </c>
      <c r="T59" s="124" t="s">
        <v>708</v>
      </c>
      <c r="U59" s="124"/>
      <c r="V59" s="124"/>
      <c r="W59" s="125"/>
      <c r="X59" s="102"/>
      <c r="Y59" s="102">
        <v>89423</v>
      </c>
      <c r="Z59" s="102"/>
      <c r="AA59" s="102"/>
      <c r="AB59" s="102"/>
      <c r="AC59" s="102"/>
      <c r="AD59" s="102"/>
      <c r="AE59" s="64" t="s">
        <v>336</v>
      </c>
      <c r="AF59" s="121"/>
      <c r="AG59" s="122"/>
      <c r="AH59" s="123" t="s">
        <v>710</v>
      </c>
      <c r="AI59" s="124" t="s">
        <v>708</v>
      </c>
      <c r="AJ59" s="124"/>
      <c r="AK59" s="124"/>
      <c r="AL59" s="125"/>
      <c r="AM59" s="102"/>
      <c r="AN59" s="102"/>
      <c r="AO59" s="102"/>
      <c r="AP59" s="102"/>
      <c r="AQ59" s="102">
        <v>1500</v>
      </c>
      <c r="AR59" s="102"/>
      <c r="AS59" s="102"/>
      <c r="AT59" s="64" t="s">
        <v>411</v>
      </c>
      <c r="AU59" s="121"/>
      <c r="AV59" s="122"/>
      <c r="AW59" s="123" t="s">
        <v>710</v>
      </c>
      <c r="AX59" s="124" t="s">
        <v>708</v>
      </c>
      <c r="AY59" s="124"/>
      <c r="AZ59" s="124"/>
      <c r="BA59" s="125"/>
      <c r="BB59" s="102"/>
      <c r="BC59" s="102"/>
      <c r="BD59" s="102"/>
      <c r="BE59" s="102"/>
      <c r="BF59" s="102"/>
      <c r="BG59" s="102"/>
      <c r="BH59" s="102"/>
      <c r="BI59" s="64" t="s">
        <v>484</v>
      </c>
      <c r="BJ59" s="121"/>
      <c r="BK59" s="122"/>
      <c r="BL59" s="123" t="s">
        <v>710</v>
      </c>
      <c r="BM59" s="124" t="s">
        <v>708</v>
      </c>
      <c r="BN59" s="124"/>
      <c r="BO59" s="124"/>
      <c r="BP59" s="125"/>
      <c r="BQ59" s="102"/>
      <c r="BR59" s="102"/>
      <c r="BS59" s="102"/>
      <c r="BT59" s="102"/>
      <c r="BU59" s="102"/>
      <c r="BV59" s="102">
        <v>300</v>
      </c>
      <c r="BW59" s="102"/>
      <c r="BX59" s="64" t="s">
        <v>748</v>
      </c>
      <c r="BY59" s="121"/>
      <c r="BZ59" s="122"/>
      <c r="CA59" s="123" t="s">
        <v>710</v>
      </c>
      <c r="CB59" s="124" t="s">
        <v>708</v>
      </c>
      <c r="CC59" s="124"/>
      <c r="CD59" s="124"/>
      <c r="CE59" s="125"/>
      <c r="CF59" s="102"/>
      <c r="CG59" s="102"/>
      <c r="CH59" s="102"/>
      <c r="CI59" s="102"/>
      <c r="CJ59" s="102"/>
      <c r="CK59" s="102">
        <v>1000</v>
      </c>
      <c r="CL59" s="102"/>
      <c r="CM59" s="64" t="s">
        <v>822</v>
      </c>
      <c r="CN59" s="121"/>
      <c r="CO59" s="122"/>
      <c r="CP59" s="123" t="s">
        <v>710</v>
      </c>
      <c r="CQ59" s="124" t="s">
        <v>708</v>
      </c>
      <c r="CR59" s="124"/>
      <c r="CS59" s="124"/>
      <c r="CT59" s="125"/>
      <c r="CU59" s="102"/>
      <c r="CV59" s="102"/>
      <c r="CW59" s="102"/>
      <c r="CX59" s="102"/>
      <c r="CY59" s="102"/>
      <c r="CZ59" s="102"/>
      <c r="DA59" s="102"/>
      <c r="DB59" s="102"/>
      <c r="DC59" s="102">
        <f t="shared" si="106"/>
        <v>504406</v>
      </c>
    </row>
    <row r="60" spans="1:107" s="62" customFormat="1" ht="15" thickBot="1">
      <c r="A60" s="64" t="s">
        <v>81</v>
      </c>
      <c r="B60" s="121"/>
      <c r="C60" s="122"/>
      <c r="D60" s="123" t="s">
        <v>701</v>
      </c>
      <c r="E60" s="124" t="s">
        <v>707</v>
      </c>
      <c r="F60" s="63"/>
      <c r="G60" s="124"/>
      <c r="H60" s="125"/>
      <c r="I60" s="102">
        <v>5000</v>
      </c>
      <c r="J60" s="102"/>
      <c r="K60" s="102"/>
      <c r="L60" s="102"/>
      <c r="M60" s="102"/>
      <c r="N60" s="102"/>
      <c r="O60" s="102"/>
      <c r="P60" s="64" t="s">
        <v>263</v>
      </c>
      <c r="Q60" s="121"/>
      <c r="R60" s="122"/>
      <c r="S60" s="123" t="s">
        <v>701</v>
      </c>
      <c r="T60" s="124" t="s">
        <v>707</v>
      </c>
      <c r="U60" s="63"/>
      <c r="V60" s="124"/>
      <c r="W60" s="125"/>
      <c r="X60" s="102"/>
      <c r="Y60" s="102"/>
      <c r="Z60" s="102"/>
      <c r="AA60" s="102"/>
      <c r="AB60" s="102"/>
      <c r="AC60" s="102"/>
      <c r="AD60" s="102"/>
      <c r="AE60" s="64" t="s">
        <v>337</v>
      </c>
      <c r="AF60" s="121"/>
      <c r="AG60" s="122"/>
      <c r="AH60" s="123" t="s">
        <v>701</v>
      </c>
      <c r="AI60" s="124" t="s">
        <v>707</v>
      </c>
      <c r="AJ60" s="63"/>
      <c r="AK60" s="124"/>
      <c r="AL60" s="125"/>
      <c r="AM60" s="102"/>
      <c r="AN60" s="102"/>
      <c r="AO60" s="102"/>
      <c r="AP60" s="102"/>
      <c r="AQ60" s="102"/>
      <c r="AR60" s="102"/>
      <c r="AS60" s="102"/>
      <c r="AT60" s="64" t="s">
        <v>412</v>
      </c>
      <c r="AU60" s="121"/>
      <c r="AV60" s="122"/>
      <c r="AW60" s="123" t="s">
        <v>701</v>
      </c>
      <c r="AX60" s="124" t="s">
        <v>707</v>
      </c>
      <c r="AY60" s="63"/>
      <c r="AZ60" s="124"/>
      <c r="BA60" s="125"/>
      <c r="BB60" s="102"/>
      <c r="BC60" s="102"/>
      <c r="BD60" s="102"/>
      <c r="BE60" s="102"/>
      <c r="BF60" s="102"/>
      <c r="BG60" s="102"/>
      <c r="BH60" s="102"/>
      <c r="BI60" s="64" t="s">
        <v>485</v>
      </c>
      <c r="BJ60" s="121"/>
      <c r="BK60" s="122"/>
      <c r="BL60" s="123" t="s">
        <v>701</v>
      </c>
      <c r="BM60" s="124" t="s">
        <v>707</v>
      </c>
      <c r="BN60" s="63"/>
      <c r="BO60" s="124"/>
      <c r="BP60" s="125"/>
      <c r="BQ60" s="102"/>
      <c r="BR60" s="102"/>
      <c r="BS60" s="102"/>
      <c r="BT60" s="102"/>
      <c r="BU60" s="102"/>
      <c r="BV60" s="102"/>
      <c r="BW60" s="102"/>
      <c r="BX60" s="64" t="s">
        <v>749</v>
      </c>
      <c r="BY60" s="121"/>
      <c r="BZ60" s="122"/>
      <c r="CA60" s="123" t="s">
        <v>701</v>
      </c>
      <c r="CB60" s="124" t="s">
        <v>707</v>
      </c>
      <c r="CC60" s="63"/>
      <c r="CD60" s="124"/>
      <c r="CE60" s="125"/>
      <c r="CF60" s="102"/>
      <c r="CG60" s="102"/>
      <c r="CH60" s="102"/>
      <c r="CI60" s="102"/>
      <c r="CJ60" s="102"/>
      <c r="CK60" s="102"/>
      <c r="CL60" s="102"/>
      <c r="CM60" s="64" t="s">
        <v>823</v>
      </c>
      <c r="CN60" s="121"/>
      <c r="CO60" s="122"/>
      <c r="CP60" s="123" t="s">
        <v>701</v>
      </c>
      <c r="CQ60" s="124" t="s">
        <v>707</v>
      </c>
      <c r="CR60" s="63"/>
      <c r="CS60" s="124"/>
      <c r="CT60" s="125"/>
      <c r="CU60" s="102"/>
      <c r="CV60" s="102"/>
      <c r="CW60" s="102"/>
      <c r="CX60" s="102"/>
      <c r="CY60" s="102"/>
      <c r="CZ60" s="102"/>
      <c r="DA60" s="102"/>
      <c r="DB60" s="102"/>
      <c r="DC60" s="102">
        <f t="shared" si="106"/>
        <v>5000</v>
      </c>
    </row>
    <row r="61" spans="1:107" s="62" customFormat="1" ht="15" thickBot="1">
      <c r="A61" s="64" t="s">
        <v>164</v>
      </c>
      <c r="B61" s="121"/>
      <c r="C61" s="122"/>
      <c r="D61" s="123" t="s">
        <v>702</v>
      </c>
      <c r="E61" s="126" t="s">
        <v>711</v>
      </c>
      <c r="F61" s="101"/>
      <c r="G61" s="126"/>
      <c r="H61" s="127"/>
      <c r="I61" s="103">
        <v>13500</v>
      </c>
      <c r="J61" s="103"/>
      <c r="K61" s="103"/>
      <c r="L61" s="103"/>
      <c r="M61" s="103"/>
      <c r="N61" s="103"/>
      <c r="O61" s="103"/>
      <c r="P61" s="64" t="s">
        <v>264</v>
      </c>
      <c r="Q61" s="121"/>
      <c r="R61" s="122"/>
      <c r="S61" s="123" t="s">
        <v>702</v>
      </c>
      <c r="T61" s="126" t="s">
        <v>711</v>
      </c>
      <c r="U61" s="101"/>
      <c r="V61" s="126"/>
      <c r="W61" s="127"/>
      <c r="X61" s="103"/>
      <c r="Y61" s="103"/>
      <c r="Z61" s="103"/>
      <c r="AA61" s="103"/>
      <c r="AB61" s="103"/>
      <c r="AC61" s="103"/>
      <c r="AD61" s="103">
        <v>31966</v>
      </c>
      <c r="AE61" s="64" t="s">
        <v>338</v>
      </c>
      <c r="AF61" s="121"/>
      <c r="AG61" s="122"/>
      <c r="AH61" s="123" t="s">
        <v>702</v>
      </c>
      <c r="AI61" s="126" t="s">
        <v>711</v>
      </c>
      <c r="AJ61" s="101"/>
      <c r="AK61" s="126"/>
      <c r="AL61" s="127"/>
      <c r="AM61" s="103"/>
      <c r="AN61" s="103"/>
      <c r="AO61" s="103"/>
      <c r="AP61" s="103"/>
      <c r="AQ61" s="103"/>
      <c r="AR61" s="103"/>
      <c r="AS61" s="103"/>
      <c r="AT61" s="64" t="s">
        <v>413</v>
      </c>
      <c r="AU61" s="121"/>
      <c r="AV61" s="122"/>
      <c r="AW61" s="123" t="s">
        <v>702</v>
      </c>
      <c r="AX61" s="126" t="s">
        <v>711</v>
      </c>
      <c r="AY61" s="101"/>
      <c r="AZ61" s="126"/>
      <c r="BA61" s="127"/>
      <c r="BB61" s="103"/>
      <c r="BC61" s="103"/>
      <c r="BD61" s="103"/>
      <c r="BE61" s="103"/>
      <c r="BF61" s="103"/>
      <c r="BG61" s="103"/>
      <c r="BH61" s="103">
        <v>3500</v>
      </c>
      <c r="BI61" s="64" t="s">
        <v>486</v>
      </c>
      <c r="BJ61" s="121"/>
      <c r="BK61" s="122"/>
      <c r="BL61" s="123" t="s">
        <v>702</v>
      </c>
      <c r="BM61" s="126" t="s">
        <v>711</v>
      </c>
      <c r="BN61" s="101"/>
      <c r="BO61" s="126"/>
      <c r="BP61" s="127"/>
      <c r="BQ61" s="103">
        <v>2000</v>
      </c>
      <c r="BR61" s="103"/>
      <c r="BS61" s="103"/>
      <c r="BT61" s="103"/>
      <c r="BU61" s="103">
        <f>31100+Javaslat!N317</f>
        <v>38836</v>
      </c>
      <c r="BV61" s="103"/>
      <c r="BW61" s="103">
        <v>56729</v>
      </c>
      <c r="BX61" s="64" t="s">
        <v>750</v>
      </c>
      <c r="BY61" s="121"/>
      <c r="BZ61" s="122"/>
      <c r="CA61" s="123" t="s">
        <v>702</v>
      </c>
      <c r="CB61" s="126" t="s">
        <v>711</v>
      </c>
      <c r="CC61" s="101"/>
      <c r="CD61" s="126"/>
      <c r="CE61" s="127"/>
      <c r="CF61" s="103">
        <v>24153</v>
      </c>
      <c r="CG61" s="103">
        <f>21640+Javaslat!N330</f>
        <v>21710</v>
      </c>
      <c r="CH61" s="103">
        <v>2250</v>
      </c>
      <c r="CI61" s="103">
        <v>9500</v>
      </c>
      <c r="CJ61" s="103"/>
      <c r="CK61" s="103"/>
      <c r="CL61" s="103"/>
      <c r="CM61" s="64" t="s">
        <v>824</v>
      </c>
      <c r="CN61" s="121"/>
      <c r="CO61" s="122"/>
      <c r="CP61" s="123" t="s">
        <v>702</v>
      </c>
      <c r="CQ61" s="126" t="s">
        <v>711</v>
      </c>
      <c r="CR61" s="101"/>
      <c r="CS61" s="126"/>
      <c r="CT61" s="127"/>
      <c r="CU61" s="103"/>
      <c r="CV61" s="103"/>
      <c r="CW61" s="103"/>
      <c r="CX61" s="103"/>
      <c r="CY61" s="103"/>
      <c r="CZ61" s="103">
        <v>24</v>
      </c>
      <c r="DA61" s="103"/>
      <c r="DB61" s="103"/>
      <c r="DC61" s="102">
        <f t="shared" si="106"/>
        <v>204168</v>
      </c>
    </row>
    <row r="62" spans="1:107" s="62" customFormat="1" ht="15" thickBot="1">
      <c r="A62" s="64" t="s">
        <v>165</v>
      </c>
      <c r="B62" s="121"/>
      <c r="C62" s="122"/>
      <c r="D62" s="123" t="s">
        <v>705</v>
      </c>
      <c r="E62" s="124" t="s">
        <v>709</v>
      </c>
      <c r="F62" s="63"/>
      <c r="G62" s="124"/>
      <c r="H62" s="125"/>
      <c r="I62" s="102"/>
      <c r="J62" s="102"/>
      <c r="K62" s="102"/>
      <c r="L62" s="102"/>
      <c r="M62" s="102"/>
      <c r="N62" s="102"/>
      <c r="O62" s="102"/>
      <c r="P62" s="64" t="s">
        <v>265</v>
      </c>
      <c r="Q62" s="121"/>
      <c r="R62" s="122"/>
      <c r="S62" s="123" t="s">
        <v>705</v>
      </c>
      <c r="T62" s="124" t="s">
        <v>709</v>
      </c>
      <c r="U62" s="63"/>
      <c r="V62" s="124"/>
      <c r="W62" s="125"/>
      <c r="X62" s="102"/>
      <c r="Y62" s="102"/>
      <c r="Z62" s="102"/>
      <c r="AA62" s="102"/>
      <c r="AB62" s="102"/>
      <c r="AC62" s="102"/>
      <c r="AD62" s="102"/>
      <c r="AE62" s="64" t="s">
        <v>339</v>
      </c>
      <c r="AF62" s="121"/>
      <c r="AG62" s="122"/>
      <c r="AH62" s="123" t="s">
        <v>705</v>
      </c>
      <c r="AI62" s="124" t="s">
        <v>709</v>
      </c>
      <c r="AJ62" s="63"/>
      <c r="AK62" s="124"/>
      <c r="AL62" s="125"/>
      <c r="AM62" s="102"/>
      <c r="AN62" s="102"/>
      <c r="AO62" s="102"/>
      <c r="AP62" s="102"/>
      <c r="AQ62" s="102"/>
      <c r="AR62" s="102"/>
      <c r="AS62" s="102"/>
      <c r="AT62" s="64" t="s">
        <v>414</v>
      </c>
      <c r="AU62" s="121"/>
      <c r="AV62" s="122"/>
      <c r="AW62" s="123" t="s">
        <v>705</v>
      </c>
      <c r="AX62" s="124" t="s">
        <v>709</v>
      </c>
      <c r="AY62" s="63"/>
      <c r="AZ62" s="124"/>
      <c r="BA62" s="125"/>
      <c r="BB62" s="102"/>
      <c r="BC62" s="102"/>
      <c r="BD62" s="102"/>
      <c r="BE62" s="102"/>
      <c r="BF62" s="102"/>
      <c r="BG62" s="102"/>
      <c r="BH62" s="102"/>
      <c r="BI62" s="64" t="s">
        <v>487</v>
      </c>
      <c r="BJ62" s="121"/>
      <c r="BK62" s="122"/>
      <c r="BL62" s="123" t="s">
        <v>705</v>
      </c>
      <c r="BM62" s="124" t="s">
        <v>709</v>
      </c>
      <c r="BN62" s="63"/>
      <c r="BO62" s="124"/>
      <c r="BP62" s="125"/>
      <c r="BQ62" s="102"/>
      <c r="BR62" s="102"/>
      <c r="BS62" s="102"/>
      <c r="BT62" s="102"/>
      <c r="BU62" s="102"/>
      <c r="BV62" s="102"/>
      <c r="BW62" s="102"/>
      <c r="BX62" s="64" t="s">
        <v>751</v>
      </c>
      <c r="BY62" s="121"/>
      <c r="BZ62" s="122"/>
      <c r="CA62" s="123" t="s">
        <v>705</v>
      </c>
      <c r="CB62" s="124" t="s">
        <v>709</v>
      </c>
      <c r="CC62" s="63"/>
      <c r="CD62" s="124"/>
      <c r="CE62" s="125"/>
      <c r="CF62" s="102"/>
      <c r="CG62" s="102"/>
      <c r="CH62" s="102"/>
      <c r="CI62" s="102"/>
      <c r="CJ62" s="102"/>
      <c r="CK62" s="102"/>
      <c r="CL62" s="102"/>
      <c r="CM62" s="64" t="s">
        <v>825</v>
      </c>
      <c r="CN62" s="121"/>
      <c r="CO62" s="122"/>
      <c r="CP62" s="123" t="s">
        <v>705</v>
      </c>
      <c r="CQ62" s="124" t="s">
        <v>709</v>
      </c>
      <c r="CR62" s="63"/>
      <c r="CS62" s="124"/>
      <c r="CT62" s="125"/>
      <c r="CU62" s="102"/>
      <c r="CV62" s="102"/>
      <c r="CW62" s="102"/>
      <c r="CX62" s="102"/>
      <c r="CY62" s="102"/>
      <c r="CZ62" s="102"/>
      <c r="DA62" s="102"/>
      <c r="DB62" s="102">
        <f>47450+Javaslat!N343</f>
        <v>14768</v>
      </c>
      <c r="DC62" s="102">
        <f t="shared" si="106"/>
        <v>14768</v>
      </c>
    </row>
    <row r="63" spans="1:107" s="62" customFormat="1" ht="15" thickBot="1">
      <c r="A63" s="64" t="s">
        <v>166</v>
      </c>
      <c r="B63" s="121"/>
      <c r="C63" s="122"/>
      <c r="D63" s="123" t="s">
        <v>706</v>
      </c>
      <c r="E63" s="124" t="s">
        <v>117</v>
      </c>
      <c r="F63" s="63"/>
      <c r="G63" s="124"/>
      <c r="H63" s="125"/>
      <c r="I63" s="102"/>
      <c r="J63" s="102"/>
      <c r="K63" s="102"/>
      <c r="L63" s="102"/>
      <c r="M63" s="102"/>
      <c r="N63" s="102"/>
      <c r="O63" s="102"/>
      <c r="P63" s="64" t="s">
        <v>266</v>
      </c>
      <c r="Q63" s="121"/>
      <c r="R63" s="122"/>
      <c r="S63" s="123" t="s">
        <v>706</v>
      </c>
      <c r="T63" s="124" t="s">
        <v>117</v>
      </c>
      <c r="U63" s="63"/>
      <c r="V63" s="124"/>
      <c r="W63" s="125"/>
      <c r="X63" s="102"/>
      <c r="Y63" s="102"/>
      <c r="Z63" s="102"/>
      <c r="AA63" s="102"/>
      <c r="AB63" s="102"/>
      <c r="AC63" s="102"/>
      <c r="AD63" s="102"/>
      <c r="AE63" s="64" t="s">
        <v>340</v>
      </c>
      <c r="AF63" s="121"/>
      <c r="AG63" s="122"/>
      <c r="AH63" s="123" t="s">
        <v>706</v>
      </c>
      <c r="AI63" s="124" t="s">
        <v>117</v>
      </c>
      <c r="AJ63" s="63"/>
      <c r="AK63" s="124"/>
      <c r="AL63" s="125"/>
      <c r="AM63" s="102"/>
      <c r="AN63" s="102"/>
      <c r="AO63" s="102"/>
      <c r="AP63" s="102"/>
      <c r="AQ63" s="102"/>
      <c r="AR63" s="102"/>
      <c r="AS63" s="102"/>
      <c r="AT63" s="64" t="s">
        <v>415</v>
      </c>
      <c r="AU63" s="121"/>
      <c r="AV63" s="122"/>
      <c r="AW63" s="123" t="s">
        <v>706</v>
      </c>
      <c r="AX63" s="124" t="s">
        <v>117</v>
      </c>
      <c r="AY63" s="63"/>
      <c r="AZ63" s="124"/>
      <c r="BA63" s="125"/>
      <c r="BB63" s="102"/>
      <c r="BC63" s="102"/>
      <c r="BD63" s="102"/>
      <c r="BE63" s="102"/>
      <c r="BF63" s="102"/>
      <c r="BG63" s="102"/>
      <c r="BH63" s="102"/>
      <c r="BI63" s="64" t="s">
        <v>488</v>
      </c>
      <c r="BJ63" s="121"/>
      <c r="BK63" s="122"/>
      <c r="BL63" s="123" t="s">
        <v>706</v>
      </c>
      <c r="BM63" s="124" t="s">
        <v>117</v>
      </c>
      <c r="BN63" s="63"/>
      <c r="BO63" s="124"/>
      <c r="BP63" s="125"/>
      <c r="BQ63" s="102"/>
      <c r="BR63" s="102"/>
      <c r="BS63" s="102"/>
      <c r="BT63" s="102"/>
      <c r="BU63" s="102"/>
      <c r="BV63" s="102"/>
      <c r="BW63" s="102"/>
      <c r="BX63" s="64" t="s">
        <v>752</v>
      </c>
      <c r="BY63" s="121"/>
      <c r="BZ63" s="122"/>
      <c r="CA63" s="123" t="s">
        <v>706</v>
      </c>
      <c r="CB63" s="124" t="s">
        <v>117</v>
      </c>
      <c r="CC63" s="63"/>
      <c r="CD63" s="124"/>
      <c r="CE63" s="125"/>
      <c r="CF63" s="102"/>
      <c r="CG63" s="102"/>
      <c r="CH63" s="102"/>
      <c r="CI63" s="102"/>
      <c r="CJ63" s="102"/>
      <c r="CK63" s="102"/>
      <c r="CL63" s="102"/>
      <c r="CM63" s="64" t="s">
        <v>826</v>
      </c>
      <c r="CN63" s="121"/>
      <c r="CO63" s="122"/>
      <c r="CP63" s="123" t="s">
        <v>706</v>
      </c>
      <c r="CQ63" s="124" t="s">
        <v>117</v>
      </c>
      <c r="CR63" s="63"/>
      <c r="CS63" s="124"/>
      <c r="CT63" s="125"/>
      <c r="CU63" s="102"/>
      <c r="CV63" s="102"/>
      <c r="CW63" s="102"/>
      <c r="CX63" s="102"/>
      <c r="CY63" s="102"/>
      <c r="CZ63" s="102"/>
      <c r="DA63" s="102"/>
      <c r="DB63" s="102">
        <f>27083+Javaslat!N379</f>
        <v>15558</v>
      </c>
      <c r="DC63" s="102">
        <f t="shared" si="106"/>
        <v>15558</v>
      </c>
    </row>
    <row r="64" spans="1:107" s="157" customFormat="1" ht="16.5" thickBot="1">
      <c r="A64" s="64" t="s">
        <v>167</v>
      </c>
      <c r="B64" s="154" t="s">
        <v>107</v>
      </c>
      <c r="C64" s="155" t="s">
        <v>116</v>
      </c>
      <c r="D64" s="170"/>
      <c r="E64" s="170"/>
      <c r="F64" s="155"/>
      <c r="G64" s="155"/>
      <c r="H64" s="155"/>
      <c r="I64" s="156">
        <f>SUM(I65:I67)</f>
        <v>18</v>
      </c>
      <c r="J64" s="156">
        <f aca="true" t="shared" si="114" ref="J64:O64">SUM(J65:J67)</f>
        <v>7000</v>
      </c>
      <c r="K64" s="156">
        <f t="shared" si="114"/>
        <v>1012294</v>
      </c>
      <c r="L64" s="156">
        <f t="shared" si="114"/>
        <v>0</v>
      </c>
      <c r="M64" s="156">
        <f t="shared" si="114"/>
        <v>0</v>
      </c>
      <c r="N64" s="156">
        <f t="shared" si="114"/>
        <v>1500</v>
      </c>
      <c r="O64" s="156">
        <f t="shared" si="114"/>
        <v>0</v>
      </c>
      <c r="P64" s="64" t="s">
        <v>267</v>
      </c>
      <c r="Q64" s="154" t="s">
        <v>107</v>
      </c>
      <c r="R64" s="155" t="s">
        <v>116</v>
      </c>
      <c r="S64" s="170"/>
      <c r="T64" s="170"/>
      <c r="U64" s="155"/>
      <c r="V64" s="155"/>
      <c r="W64" s="155"/>
      <c r="X64" s="156">
        <f aca="true" t="shared" si="115" ref="X64:AD64">SUM(X65:X67)</f>
        <v>0</v>
      </c>
      <c r="Y64" s="156">
        <f t="shared" si="115"/>
        <v>0</v>
      </c>
      <c r="Z64" s="156">
        <f t="shared" si="115"/>
        <v>0</v>
      </c>
      <c r="AA64" s="156">
        <f t="shared" si="115"/>
        <v>0</v>
      </c>
      <c r="AB64" s="156">
        <f t="shared" si="115"/>
        <v>10051</v>
      </c>
      <c r="AC64" s="156">
        <f t="shared" si="115"/>
        <v>0</v>
      </c>
      <c r="AD64" s="156">
        <f t="shared" si="115"/>
        <v>0</v>
      </c>
      <c r="AE64" s="64" t="s">
        <v>341</v>
      </c>
      <c r="AF64" s="154" t="s">
        <v>107</v>
      </c>
      <c r="AG64" s="155" t="s">
        <v>116</v>
      </c>
      <c r="AH64" s="170"/>
      <c r="AI64" s="170"/>
      <c r="AJ64" s="155"/>
      <c r="AK64" s="155"/>
      <c r="AL64" s="155"/>
      <c r="AM64" s="156">
        <f aca="true" t="shared" si="116" ref="AM64:AS64">SUM(AM65:AM67)</f>
        <v>748341</v>
      </c>
      <c r="AN64" s="156">
        <f t="shared" si="116"/>
        <v>0</v>
      </c>
      <c r="AO64" s="156">
        <f t="shared" si="116"/>
        <v>0</v>
      </c>
      <c r="AP64" s="156">
        <f t="shared" si="116"/>
        <v>0</v>
      </c>
      <c r="AQ64" s="156">
        <f t="shared" si="116"/>
        <v>800</v>
      </c>
      <c r="AR64" s="156">
        <f t="shared" si="116"/>
        <v>11935</v>
      </c>
      <c r="AS64" s="156">
        <f t="shared" si="116"/>
        <v>2000</v>
      </c>
      <c r="AT64" s="64" t="s">
        <v>416</v>
      </c>
      <c r="AU64" s="154" t="s">
        <v>107</v>
      </c>
      <c r="AV64" s="155" t="s">
        <v>116</v>
      </c>
      <c r="AW64" s="170"/>
      <c r="AX64" s="170"/>
      <c r="AY64" s="155"/>
      <c r="AZ64" s="155"/>
      <c r="BA64" s="155"/>
      <c r="BB64" s="156">
        <f aca="true" t="shared" si="117" ref="BB64:BH64">SUM(BB65:BB67)</f>
        <v>4000</v>
      </c>
      <c r="BC64" s="156">
        <f t="shared" si="117"/>
        <v>13278</v>
      </c>
      <c r="BD64" s="156">
        <f t="shared" si="117"/>
        <v>5334</v>
      </c>
      <c r="BE64" s="156">
        <f t="shared" si="117"/>
        <v>2401</v>
      </c>
      <c r="BF64" s="156">
        <f t="shared" si="117"/>
        <v>5149</v>
      </c>
      <c r="BG64" s="156">
        <f t="shared" si="117"/>
        <v>29772</v>
      </c>
      <c r="BH64" s="156">
        <f t="shared" si="117"/>
        <v>0</v>
      </c>
      <c r="BI64" s="64" t="s">
        <v>489</v>
      </c>
      <c r="BJ64" s="154" t="s">
        <v>107</v>
      </c>
      <c r="BK64" s="155" t="s">
        <v>116</v>
      </c>
      <c r="BL64" s="170"/>
      <c r="BM64" s="170"/>
      <c r="BN64" s="155"/>
      <c r="BO64" s="155"/>
      <c r="BP64" s="155"/>
      <c r="BQ64" s="156">
        <f aca="true" t="shared" si="118" ref="BQ64:BW64">SUM(BQ65:BQ67)</f>
        <v>0</v>
      </c>
      <c r="BR64" s="156">
        <f t="shared" si="118"/>
        <v>389</v>
      </c>
      <c r="BS64" s="156">
        <f t="shared" si="118"/>
        <v>0</v>
      </c>
      <c r="BT64" s="156">
        <f t="shared" si="118"/>
        <v>33127</v>
      </c>
      <c r="BU64" s="156">
        <f t="shared" si="118"/>
        <v>0</v>
      </c>
      <c r="BV64" s="156">
        <f t="shared" si="118"/>
        <v>15150</v>
      </c>
      <c r="BW64" s="156">
        <f t="shared" si="118"/>
        <v>0</v>
      </c>
      <c r="BX64" s="64" t="s">
        <v>753</v>
      </c>
      <c r="BY64" s="154" t="s">
        <v>107</v>
      </c>
      <c r="BZ64" s="155" t="s">
        <v>116</v>
      </c>
      <c r="CA64" s="170"/>
      <c r="CB64" s="170"/>
      <c r="CC64" s="155"/>
      <c r="CD64" s="155"/>
      <c r="CE64" s="155"/>
      <c r="CF64" s="156">
        <f aca="true" t="shared" si="119" ref="CF64:CL64">SUM(CF65:CF67)</f>
        <v>5000</v>
      </c>
      <c r="CG64" s="156">
        <f t="shared" si="119"/>
        <v>0</v>
      </c>
      <c r="CH64" s="156">
        <f t="shared" si="119"/>
        <v>0</v>
      </c>
      <c r="CI64" s="156">
        <f t="shared" si="119"/>
        <v>2200</v>
      </c>
      <c r="CJ64" s="156">
        <f t="shared" si="119"/>
        <v>0</v>
      </c>
      <c r="CK64" s="156">
        <f t="shared" si="119"/>
        <v>0</v>
      </c>
      <c r="CL64" s="156">
        <f t="shared" si="119"/>
        <v>0</v>
      </c>
      <c r="CM64" s="64" t="s">
        <v>827</v>
      </c>
      <c r="CN64" s="154" t="s">
        <v>107</v>
      </c>
      <c r="CO64" s="155" t="s">
        <v>116</v>
      </c>
      <c r="CP64" s="170"/>
      <c r="CQ64" s="170"/>
      <c r="CR64" s="155"/>
      <c r="CS64" s="155"/>
      <c r="CT64" s="155"/>
      <c r="CU64" s="156">
        <f aca="true" t="shared" si="120" ref="CU64:DB64">SUM(CU65:CU67)</f>
        <v>0</v>
      </c>
      <c r="CV64" s="156">
        <f t="shared" si="120"/>
        <v>0</v>
      </c>
      <c r="CW64" s="156">
        <f t="shared" si="120"/>
        <v>0</v>
      </c>
      <c r="CX64" s="156">
        <f t="shared" si="120"/>
        <v>0</v>
      </c>
      <c r="CY64" s="156">
        <f t="shared" si="120"/>
        <v>0</v>
      </c>
      <c r="CZ64" s="156">
        <f t="shared" si="120"/>
        <v>0</v>
      </c>
      <c r="DA64" s="156">
        <f>SUM(DA65:DA67)</f>
        <v>0</v>
      </c>
      <c r="DB64" s="156">
        <f t="shared" si="120"/>
        <v>360876</v>
      </c>
      <c r="DC64" s="156">
        <f t="shared" si="106"/>
        <v>2270615</v>
      </c>
    </row>
    <row r="65" spans="1:107" s="157" customFormat="1" ht="16.5" thickBot="1">
      <c r="A65" s="64" t="s">
        <v>168</v>
      </c>
      <c r="B65" s="158"/>
      <c r="C65" s="159" t="s">
        <v>109</v>
      </c>
      <c r="D65" s="160" t="s">
        <v>578</v>
      </c>
      <c r="E65" s="160"/>
      <c r="F65" s="160"/>
      <c r="G65" s="160"/>
      <c r="H65" s="161"/>
      <c r="I65" s="162"/>
      <c r="J65" s="162"/>
      <c r="K65" s="162">
        <f>42033+Javaslat!N148</f>
        <v>43779</v>
      </c>
      <c r="L65" s="162"/>
      <c r="M65" s="162"/>
      <c r="N65" s="162">
        <f>Javaslat!N211</f>
        <v>1500</v>
      </c>
      <c r="O65" s="162"/>
      <c r="P65" s="64" t="s">
        <v>268</v>
      </c>
      <c r="Q65" s="158"/>
      <c r="R65" s="159" t="s">
        <v>109</v>
      </c>
      <c r="S65" s="160" t="s">
        <v>578</v>
      </c>
      <c r="T65" s="160"/>
      <c r="U65" s="160"/>
      <c r="V65" s="160"/>
      <c r="W65" s="161"/>
      <c r="X65" s="162"/>
      <c r="Y65" s="162"/>
      <c r="Z65" s="162"/>
      <c r="AA65" s="162">
        <f>1000+Javaslat!N226</f>
        <v>0</v>
      </c>
      <c r="AB65" s="162">
        <f>8635+Javaslat!N244</f>
        <v>10051</v>
      </c>
      <c r="AC65" s="162"/>
      <c r="AD65" s="162"/>
      <c r="AE65" s="64" t="s">
        <v>342</v>
      </c>
      <c r="AF65" s="158"/>
      <c r="AG65" s="159" t="s">
        <v>109</v>
      </c>
      <c r="AH65" s="160" t="s">
        <v>578</v>
      </c>
      <c r="AI65" s="160"/>
      <c r="AJ65" s="160"/>
      <c r="AK65" s="160"/>
      <c r="AL65" s="161"/>
      <c r="AM65" s="162">
        <v>453409</v>
      </c>
      <c r="AN65" s="162"/>
      <c r="AO65" s="162"/>
      <c r="AP65" s="162"/>
      <c r="AQ65" s="162">
        <f>Javaslat!N266</f>
        <v>800</v>
      </c>
      <c r="AR65" s="162">
        <v>11935</v>
      </c>
      <c r="AS65" s="162"/>
      <c r="AT65" s="64" t="s">
        <v>417</v>
      </c>
      <c r="AU65" s="158"/>
      <c r="AV65" s="159" t="s">
        <v>109</v>
      </c>
      <c r="AW65" s="160" t="s">
        <v>578</v>
      </c>
      <c r="AX65" s="160"/>
      <c r="AY65" s="160"/>
      <c r="AZ65" s="160"/>
      <c r="BA65" s="161"/>
      <c r="BB65" s="162">
        <v>4000</v>
      </c>
      <c r="BC65" s="162"/>
      <c r="BD65" s="162">
        <v>5334</v>
      </c>
      <c r="BE65" s="162">
        <v>2401</v>
      </c>
      <c r="BF65" s="162">
        <f>18749+Javaslat!N284</f>
        <v>5149</v>
      </c>
      <c r="BG65" s="162"/>
      <c r="BH65" s="162"/>
      <c r="BI65" s="64" t="s">
        <v>490</v>
      </c>
      <c r="BJ65" s="158"/>
      <c r="BK65" s="159" t="s">
        <v>109</v>
      </c>
      <c r="BL65" s="160" t="s">
        <v>578</v>
      </c>
      <c r="BM65" s="160"/>
      <c r="BN65" s="160"/>
      <c r="BO65" s="160"/>
      <c r="BP65" s="161"/>
      <c r="BQ65" s="162"/>
      <c r="BR65" s="162">
        <f>Javaslat!N309</f>
        <v>389</v>
      </c>
      <c r="BS65" s="162"/>
      <c r="BT65" s="162">
        <v>14227</v>
      </c>
      <c r="BU65" s="162"/>
      <c r="BV65" s="162"/>
      <c r="BW65" s="162"/>
      <c r="BX65" s="64" t="s">
        <v>754</v>
      </c>
      <c r="BY65" s="158"/>
      <c r="BZ65" s="159" t="s">
        <v>109</v>
      </c>
      <c r="CA65" s="160" t="s">
        <v>578</v>
      </c>
      <c r="CB65" s="160"/>
      <c r="CC65" s="160"/>
      <c r="CD65" s="160"/>
      <c r="CE65" s="161"/>
      <c r="CF65" s="162"/>
      <c r="CG65" s="162"/>
      <c r="CH65" s="162"/>
      <c r="CI65" s="162"/>
      <c r="CJ65" s="162"/>
      <c r="CK65" s="162"/>
      <c r="CL65" s="162"/>
      <c r="CM65" s="64" t="s">
        <v>828</v>
      </c>
      <c r="CN65" s="158"/>
      <c r="CO65" s="159" t="s">
        <v>109</v>
      </c>
      <c r="CP65" s="160" t="s">
        <v>578</v>
      </c>
      <c r="CQ65" s="160"/>
      <c r="CR65" s="160"/>
      <c r="CS65" s="160"/>
      <c r="CT65" s="161"/>
      <c r="CU65" s="162"/>
      <c r="CV65" s="162"/>
      <c r="CW65" s="162"/>
      <c r="CX65" s="162"/>
      <c r="CY65" s="162"/>
      <c r="CZ65" s="162"/>
      <c r="DA65" s="162"/>
      <c r="DB65" s="162"/>
      <c r="DC65" s="162">
        <f t="shared" si="106"/>
        <v>552974</v>
      </c>
    </row>
    <row r="66" spans="1:107" s="157" customFormat="1" ht="16.5" thickBot="1">
      <c r="A66" s="64" t="s">
        <v>169</v>
      </c>
      <c r="B66" s="158"/>
      <c r="C66" s="159" t="s">
        <v>110</v>
      </c>
      <c r="D66" s="163" t="s">
        <v>579</v>
      </c>
      <c r="E66" s="163"/>
      <c r="F66" s="163"/>
      <c r="G66" s="163"/>
      <c r="H66" s="165"/>
      <c r="I66" s="166"/>
      <c r="J66" s="166">
        <v>7000</v>
      </c>
      <c r="K66" s="166">
        <f>923890+Javaslat!N160</f>
        <v>933144</v>
      </c>
      <c r="L66" s="166"/>
      <c r="M66" s="166"/>
      <c r="N66" s="166"/>
      <c r="O66" s="166"/>
      <c r="P66" s="64" t="s">
        <v>269</v>
      </c>
      <c r="Q66" s="158"/>
      <c r="R66" s="159" t="s">
        <v>110</v>
      </c>
      <c r="S66" s="163" t="s">
        <v>579</v>
      </c>
      <c r="T66" s="163"/>
      <c r="U66" s="163"/>
      <c r="V66" s="163"/>
      <c r="W66" s="165"/>
      <c r="X66" s="166"/>
      <c r="Y66" s="166"/>
      <c r="Z66" s="166"/>
      <c r="AA66" s="166"/>
      <c r="AB66" s="166"/>
      <c r="AC66" s="166"/>
      <c r="AD66" s="166"/>
      <c r="AE66" s="64" t="s">
        <v>343</v>
      </c>
      <c r="AF66" s="158"/>
      <c r="AG66" s="159" t="s">
        <v>110</v>
      </c>
      <c r="AH66" s="163" t="s">
        <v>579</v>
      </c>
      <c r="AI66" s="163"/>
      <c r="AJ66" s="163"/>
      <c r="AK66" s="163"/>
      <c r="AL66" s="165"/>
      <c r="AM66" s="166">
        <f>226632+Javaslat!N250</f>
        <v>294932</v>
      </c>
      <c r="AN66" s="166"/>
      <c r="AO66" s="166"/>
      <c r="AP66" s="166"/>
      <c r="AQ66" s="166"/>
      <c r="AR66" s="166"/>
      <c r="AS66" s="166"/>
      <c r="AT66" s="64" t="s">
        <v>418</v>
      </c>
      <c r="AU66" s="158"/>
      <c r="AV66" s="159" t="s">
        <v>110</v>
      </c>
      <c r="AW66" s="163" t="s">
        <v>579</v>
      </c>
      <c r="AX66" s="163"/>
      <c r="AY66" s="163"/>
      <c r="AZ66" s="163"/>
      <c r="BA66" s="165"/>
      <c r="BB66" s="166"/>
      <c r="BC66" s="166">
        <v>13278</v>
      </c>
      <c r="BD66" s="166"/>
      <c r="BE66" s="166"/>
      <c r="BF66" s="166"/>
      <c r="BG66" s="166"/>
      <c r="BH66" s="166"/>
      <c r="BI66" s="64" t="s">
        <v>491</v>
      </c>
      <c r="BJ66" s="158"/>
      <c r="BK66" s="159" t="s">
        <v>110</v>
      </c>
      <c r="BL66" s="163" t="s">
        <v>579</v>
      </c>
      <c r="BM66" s="163"/>
      <c r="BN66" s="163"/>
      <c r="BO66" s="163"/>
      <c r="BP66" s="165"/>
      <c r="BQ66" s="166"/>
      <c r="BR66" s="166"/>
      <c r="BS66" s="166"/>
      <c r="BT66" s="166"/>
      <c r="BU66" s="166"/>
      <c r="BV66" s="166"/>
      <c r="BW66" s="166"/>
      <c r="BX66" s="64" t="s">
        <v>755</v>
      </c>
      <c r="BY66" s="158"/>
      <c r="BZ66" s="159" t="s">
        <v>110</v>
      </c>
      <c r="CA66" s="163" t="s">
        <v>579</v>
      </c>
      <c r="CB66" s="163"/>
      <c r="CC66" s="163"/>
      <c r="CD66" s="163"/>
      <c r="CE66" s="165"/>
      <c r="CF66" s="166"/>
      <c r="CG66" s="166"/>
      <c r="CH66" s="166"/>
      <c r="CI66" s="166"/>
      <c r="CJ66" s="166"/>
      <c r="CK66" s="166"/>
      <c r="CL66" s="166"/>
      <c r="CM66" s="64" t="s">
        <v>829</v>
      </c>
      <c r="CN66" s="158"/>
      <c r="CO66" s="159" t="s">
        <v>110</v>
      </c>
      <c r="CP66" s="163" t="s">
        <v>579</v>
      </c>
      <c r="CQ66" s="163"/>
      <c r="CR66" s="163"/>
      <c r="CS66" s="163"/>
      <c r="CT66" s="165"/>
      <c r="CU66" s="166"/>
      <c r="CV66" s="166"/>
      <c r="CW66" s="166"/>
      <c r="CX66" s="166"/>
      <c r="CY66" s="166"/>
      <c r="CZ66" s="166"/>
      <c r="DA66" s="166"/>
      <c r="DB66" s="166"/>
      <c r="DC66" s="166">
        <f t="shared" si="106"/>
        <v>1248354</v>
      </c>
    </row>
    <row r="67" spans="1:107" s="157" customFormat="1" ht="16.5" thickBot="1">
      <c r="A67" s="64" t="s">
        <v>170</v>
      </c>
      <c r="B67" s="158"/>
      <c r="C67" s="159" t="s">
        <v>111</v>
      </c>
      <c r="D67" s="163" t="s">
        <v>580</v>
      </c>
      <c r="E67" s="164"/>
      <c r="F67" s="163"/>
      <c r="G67" s="163"/>
      <c r="H67" s="165"/>
      <c r="I67" s="166">
        <f>SUM(I68:I71)</f>
        <v>18</v>
      </c>
      <c r="J67" s="166">
        <f aca="true" t="shared" si="121" ref="J67:O67">SUM(J68:J71)</f>
        <v>0</v>
      </c>
      <c r="K67" s="166">
        <f t="shared" si="121"/>
        <v>35371</v>
      </c>
      <c r="L67" s="166">
        <f t="shared" si="121"/>
        <v>0</v>
      </c>
      <c r="M67" s="166">
        <f t="shared" si="121"/>
        <v>0</v>
      </c>
      <c r="N67" s="166">
        <f t="shared" si="121"/>
        <v>0</v>
      </c>
      <c r="O67" s="166">
        <f t="shared" si="121"/>
        <v>0</v>
      </c>
      <c r="P67" s="64" t="s">
        <v>270</v>
      </c>
      <c r="Q67" s="158"/>
      <c r="R67" s="159" t="s">
        <v>111</v>
      </c>
      <c r="S67" s="163" t="s">
        <v>580</v>
      </c>
      <c r="T67" s="164"/>
      <c r="U67" s="163"/>
      <c r="V67" s="163"/>
      <c r="W67" s="165"/>
      <c r="X67" s="166">
        <f aca="true" t="shared" si="122" ref="X67:AD67">SUM(X68:X71)</f>
        <v>0</v>
      </c>
      <c r="Y67" s="166">
        <f t="shared" si="122"/>
        <v>0</v>
      </c>
      <c r="Z67" s="166">
        <f t="shared" si="122"/>
        <v>0</v>
      </c>
      <c r="AA67" s="166">
        <f t="shared" si="122"/>
        <v>0</v>
      </c>
      <c r="AB67" s="166">
        <f t="shared" si="122"/>
        <v>0</v>
      </c>
      <c r="AC67" s="166">
        <f t="shared" si="122"/>
        <v>0</v>
      </c>
      <c r="AD67" s="166">
        <f t="shared" si="122"/>
        <v>0</v>
      </c>
      <c r="AE67" s="64" t="s">
        <v>344</v>
      </c>
      <c r="AF67" s="158"/>
      <c r="AG67" s="159" t="s">
        <v>111</v>
      </c>
      <c r="AH67" s="163" t="s">
        <v>580</v>
      </c>
      <c r="AI67" s="164"/>
      <c r="AJ67" s="163"/>
      <c r="AK67" s="163"/>
      <c r="AL67" s="165"/>
      <c r="AM67" s="166">
        <f aca="true" t="shared" si="123" ref="AM67:AS67">SUM(AM68:AM71)</f>
        <v>0</v>
      </c>
      <c r="AN67" s="166">
        <f t="shared" si="123"/>
        <v>0</v>
      </c>
      <c r="AO67" s="166">
        <f t="shared" si="123"/>
        <v>0</v>
      </c>
      <c r="AP67" s="166">
        <f t="shared" si="123"/>
        <v>0</v>
      </c>
      <c r="AQ67" s="166">
        <f t="shared" si="123"/>
        <v>0</v>
      </c>
      <c r="AR67" s="166">
        <f t="shared" si="123"/>
        <v>0</v>
      </c>
      <c r="AS67" s="166">
        <f t="shared" si="123"/>
        <v>2000</v>
      </c>
      <c r="AT67" s="64" t="s">
        <v>419</v>
      </c>
      <c r="AU67" s="158"/>
      <c r="AV67" s="159" t="s">
        <v>111</v>
      </c>
      <c r="AW67" s="163" t="s">
        <v>580</v>
      </c>
      <c r="AX67" s="164"/>
      <c r="AY67" s="163"/>
      <c r="AZ67" s="163"/>
      <c r="BA67" s="165"/>
      <c r="BB67" s="166">
        <f aca="true" t="shared" si="124" ref="BB67:BH67">SUM(BB68:BB71)</f>
        <v>0</v>
      </c>
      <c r="BC67" s="166">
        <f t="shared" si="124"/>
        <v>0</v>
      </c>
      <c r="BD67" s="166">
        <f t="shared" si="124"/>
        <v>0</v>
      </c>
      <c r="BE67" s="166">
        <f t="shared" si="124"/>
        <v>0</v>
      </c>
      <c r="BF67" s="166">
        <f t="shared" si="124"/>
        <v>0</v>
      </c>
      <c r="BG67" s="166">
        <f t="shared" si="124"/>
        <v>29772</v>
      </c>
      <c r="BH67" s="166">
        <f t="shared" si="124"/>
        <v>0</v>
      </c>
      <c r="BI67" s="64" t="s">
        <v>492</v>
      </c>
      <c r="BJ67" s="158"/>
      <c r="BK67" s="159" t="s">
        <v>111</v>
      </c>
      <c r="BL67" s="163" t="s">
        <v>580</v>
      </c>
      <c r="BM67" s="164"/>
      <c r="BN67" s="163"/>
      <c r="BO67" s="163"/>
      <c r="BP67" s="165"/>
      <c r="BQ67" s="166">
        <f aca="true" t="shared" si="125" ref="BQ67:BW67">SUM(BQ68:BQ71)</f>
        <v>0</v>
      </c>
      <c r="BR67" s="166">
        <f t="shared" si="125"/>
        <v>0</v>
      </c>
      <c r="BS67" s="166">
        <f t="shared" si="125"/>
        <v>0</v>
      </c>
      <c r="BT67" s="166">
        <f t="shared" si="125"/>
        <v>18900</v>
      </c>
      <c r="BU67" s="166">
        <f t="shared" si="125"/>
        <v>0</v>
      </c>
      <c r="BV67" s="166">
        <f t="shared" si="125"/>
        <v>15150</v>
      </c>
      <c r="BW67" s="166">
        <f t="shared" si="125"/>
        <v>0</v>
      </c>
      <c r="BX67" s="64" t="s">
        <v>756</v>
      </c>
      <c r="BY67" s="158"/>
      <c r="BZ67" s="159" t="s">
        <v>111</v>
      </c>
      <c r="CA67" s="163" t="s">
        <v>580</v>
      </c>
      <c r="CB67" s="164"/>
      <c r="CC67" s="163"/>
      <c r="CD67" s="163"/>
      <c r="CE67" s="165"/>
      <c r="CF67" s="166">
        <f aca="true" t="shared" si="126" ref="CF67:CL67">SUM(CF68:CF71)</f>
        <v>5000</v>
      </c>
      <c r="CG67" s="166">
        <f t="shared" si="126"/>
        <v>0</v>
      </c>
      <c r="CH67" s="166">
        <f t="shared" si="126"/>
        <v>0</v>
      </c>
      <c r="CI67" s="166">
        <f t="shared" si="126"/>
        <v>2200</v>
      </c>
      <c r="CJ67" s="166">
        <f t="shared" si="126"/>
        <v>0</v>
      </c>
      <c r="CK67" s="166">
        <f t="shared" si="126"/>
        <v>0</v>
      </c>
      <c r="CL67" s="166">
        <f t="shared" si="126"/>
        <v>0</v>
      </c>
      <c r="CM67" s="64" t="s">
        <v>830</v>
      </c>
      <c r="CN67" s="158"/>
      <c r="CO67" s="159" t="s">
        <v>111</v>
      </c>
      <c r="CP67" s="163" t="s">
        <v>580</v>
      </c>
      <c r="CQ67" s="164"/>
      <c r="CR67" s="163"/>
      <c r="CS67" s="163"/>
      <c r="CT67" s="165"/>
      <c r="CU67" s="166">
        <f aca="true" t="shared" si="127" ref="CU67:DB67">SUM(CU68:CU71)</f>
        <v>0</v>
      </c>
      <c r="CV67" s="166">
        <f t="shared" si="127"/>
        <v>0</v>
      </c>
      <c r="CW67" s="166">
        <f t="shared" si="127"/>
        <v>0</v>
      </c>
      <c r="CX67" s="166">
        <f t="shared" si="127"/>
        <v>0</v>
      </c>
      <c r="CY67" s="166">
        <f t="shared" si="127"/>
        <v>0</v>
      </c>
      <c r="CZ67" s="166">
        <f t="shared" si="127"/>
        <v>0</v>
      </c>
      <c r="DA67" s="166">
        <f>SUM(DA68:DA71)</f>
        <v>0</v>
      </c>
      <c r="DB67" s="166">
        <f t="shared" si="127"/>
        <v>360876</v>
      </c>
      <c r="DC67" s="166">
        <f t="shared" si="106"/>
        <v>469287</v>
      </c>
    </row>
    <row r="68" spans="1:107" s="62" customFormat="1" ht="15" thickBot="1">
      <c r="A68" s="64" t="s">
        <v>171</v>
      </c>
      <c r="B68" s="121"/>
      <c r="C68" s="128"/>
      <c r="D68" s="123" t="s">
        <v>712</v>
      </c>
      <c r="E68" s="124" t="s">
        <v>713</v>
      </c>
      <c r="F68" s="124"/>
      <c r="G68" s="124"/>
      <c r="H68" s="125"/>
      <c r="I68" s="102"/>
      <c r="J68" s="102"/>
      <c r="K68" s="102"/>
      <c r="L68" s="102"/>
      <c r="M68" s="102"/>
      <c r="N68" s="102"/>
      <c r="O68" s="102"/>
      <c r="P68" s="64" t="s">
        <v>271</v>
      </c>
      <c r="Q68" s="121"/>
      <c r="R68" s="128"/>
      <c r="S68" s="123" t="s">
        <v>712</v>
      </c>
      <c r="T68" s="124" t="s">
        <v>713</v>
      </c>
      <c r="U68" s="124"/>
      <c r="V68" s="124"/>
      <c r="W68" s="125"/>
      <c r="X68" s="102"/>
      <c r="Y68" s="102"/>
      <c r="Z68" s="102"/>
      <c r="AA68" s="102"/>
      <c r="AB68" s="102"/>
      <c r="AC68" s="102"/>
      <c r="AD68" s="102"/>
      <c r="AE68" s="64" t="s">
        <v>345</v>
      </c>
      <c r="AF68" s="121"/>
      <c r="AG68" s="128"/>
      <c r="AH68" s="123" t="s">
        <v>712</v>
      </c>
      <c r="AI68" s="124" t="s">
        <v>713</v>
      </c>
      <c r="AJ68" s="124"/>
      <c r="AK68" s="124"/>
      <c r="AL68" s="125"/>
      <c r="AM68" s="102"/>
      <c r="AN68" s="102"/>
      <c r="AO68" s="102"/>
      <c r="AP68" s="102"/>
      <c r="AQ68" s="102"/>
      <c r="AR68" s="102"/>
      <c r="AS68" s="102"/>
      <c r="AT68" s="64" t="s">
        <v>420</v>
      </c>
      <c r="AU68" s="121"/>
      <c r="AV68" s="128"/>
      <c r="AW68" s="123" t="s">
        <v>712</v>
      </c>
      <c r="AX68" s="124" t="s">
        <v>713</v>
      </c>
      <c r="AY68" s="124"/>
      <c r="AZ68" s="124"/>
      <c r="BA68" s="125"/>
      <c r="BB68" s="102"/>
      <c r="BC68" s="102"/>
      <c r="BD68" s="102"/>
      <c r="BE68" s="102"/>
      <c r="BF68" s="102"/>
      <c r="BG68" s="102"/>
      <c r="BH68" s="102"/>
      <c r="BI68" s="64" t="s">
        <v>493</v>
      </c>
      <c r="BJ68" s="121"/>
      <c r="BK68" s="128"/>
      <c r="BL68" s="123" t="s">
        <v>712</v>
      </c>
      <c r="BM68" s="124" t="s">
        <v>713</v>
      </c>
      <c r="BN68" s="124"/>
      <c r="BO68" s="124"/>
      <c r="BP68" s="125"/>
      <c r="BQ68" s="102"/>
      <c r="BR68" s="102"/>
      <c r="BS68" s="102"/>
      <c r="BT68" s="102"/>
      <c r="BU68" s="102"/>
      <c r="BV68" s="102"/>
      <c r="BW68" s="102"/>
      <c r="BX68" s="64" t="s">
        <v>757</v>
      </c>
      <c r="BY68" s="121"/>
      <c r="BZ68" s="128"/>
      <c r="CA68" s="123" t="s">
        <v>712</v>
      </c>
      <c r="CB68" s="124" t="s">
        <v>713</v>
      </c>
      <c r="CC68" s="124"/>
      <c r="CD68" s="124"/>
      <c r="CE68" s="125"/>
      <c r="CF68" s="102"/>
      <c r="CG68" s="102"/>
      <c r="CH68" s="102"/>
      <c r="CI68" s="102"/>
      <c r="CJ68" s="102"/>
      <c r="CK68" s="102"/>
      <c r="CL68" s="102"/>
      <c r="CM68" s="64" t="s">
        <v>831</v>
      </c>
      <c r="CN68" s="121"/>
      <c r="CO68" s="128"/>
      <c r="CP68" s="123" t="s">
        <v>712</v>
      </c>
      <c r="CQ68" s="124" t="s">
        <v>713</v>
      </c>
      <c r="CR68" s="124"/>
      <c r="CS68" s="124"/>
      <c r="CT68" s="125"/>
      <c r="CU68" s="102"/>
      <c r="CV68" s="102"/>
      <c r="CW68" s="102"/>
      <c r="CX68" s="102"/>
      <c r="CY68" s="102"/>
      <c r="CZ68" s="102"/>
      <c r="DA68" s="102"/>
      <c r="DB68" s="102"/>
      <c r="DC68" s="102">
        <f t="shared" si="106"/>
        <v>0</v>
      </c>
    </row>
    <row r="69" spans="1:107" s="62" customFormat="1" ht="15" thickBot="1">
      <c r="A69" s="64" t="s">
        <v>172</v>
      </c>
      <c r="B69" s="121"/>
      <c r="C69" s="128"/>
      <c r="D69" s="123" t="s">
        <v>714</v>
      </c>
      <c r="E69" s="124" t="s">
        <v>581</v>
      </c>
      <c r="F69" s="124"/>
      <c r="G69" s="124"/>
      <c r="H69" s="125"/>
      <c r="I69" s="102"/>
      <c r="J69" s="102"/>
      <c r="K69" s="102"/>
      <c r="L69" s="102"/>
      <c r="M69" s="102"/>
      <c r="N69" s="102"/>
      <c r="O69" s="102"/>
      <c r="P69" s="64" t="s">
        <v>272</v>
      </c>
      <c r="Q69" s="121"/>
      <c r="R69" s="128"/>
      <c r="S69" s="123" t="s">
        <v>714</v>
      </c>
      <c r="T69" s="124" t="s">
        <v>581</v>
      </c>
      <c r="U69" s="124"/>
      <c r="V69" s="124"/>
      <c r="W69" s="125"/>
      <c r="X69" s="102"/>
      <c r="Y69" s="102"/>
      <c r="Z69" s="102"/>
      <c r="AA69" s="102"/>
      <c r="AB69" s="102"/>
      <c r="AC69" s="102"/>
      <c r="AD69" s="102"/>
      <c r="AE69" s="64" t="s">
        <v>346</v>
      </c>
      <c r="AF69" s="121"/>
      <c r="AG69" s="128"/>
      <c r="AH69" s="123" t="s">
        <v>714</v>
      </c>
      <c r="AI69" s="124" t="s">
        <v>581</v>
      </c>
      <c r="AJ69" s="124"/>
      <c r="AK69" s="124"/>
      <c r="AL69" s="125"/>
      <c r="AM69" s="102"/>
      <c r="AN69" s="102"/>
      <c r="AO69" s="102"/>
      <c r="AP69" s="102"/>
      <c r="AQ69" s="102"/>
      <c r="AR69" s="102"/>
      <c r="AS69" s="102">
        <v>2000</v>
      </c>
      <c r="AT69" s="64" t="s">
        <v>421</v>
      </c>
      <c r="AU69" s="121"/>
      <c r="AV69" s="128"/>
      <c r="AW69" s="123" t="s">
        <v>714</v>
      </c>
      <c r="AX69" s="124" t="s">
        <v>581</v>
      </c>
      <c r="AY69" s="124"/>
      <c r="AZ69" s="124"/>
      <c r="BA69" s="125"/>
      <c r="BB69" s="102"/>
      <c r="BC69" s="102"/>
      <c r="BD69" s="102"/>
      <c r="BE69" s="102"/>
      <c r="BF69" s="102"/>
      <c r="BG69" s="102"/>
      <c r="BH69" s="102"/>
      <c r="BI69" s="64" t="s">
        <v>494</v>
      </c>
      <c r="BJ69" s="121"/>
      <c r="BK69" s="128"/>
      <c r="BL69" s="123" t="s">
        <v>714</v>
      </c>
      <c r="BM69" s="124" t="s">
        <v>581</v>
      </c>
      <c r="BN69" s="124"/>
      <c r="BO69" s="124"/>
      <c r="BP69" s="125"/>
      <c r="BQ69" s="102"/>
      <c r="BR69" s="102"/>
      <c r="BS69" s="102"/>
      <c r="BT69" s="102"/>
      <c r="BU69" s="102"/>
      <c r="BV69" s="102"/>
      <c r="BW69" s="102"/>
      <c r="BX69" s="64" t="s">
        <v>758</v>
      </c>
      <c r="BY69" s="121"/>
      <c r="BZ69" s="128"/>
      <c r="CA69" s="123" t="s">
        <v>714</v>
      </c>
      <c r="CB69" s="124" t="s">
        <v>581</v>
      </c>
      <c r="CC69" s="124"/>
      <c r="CD69" s="124"/>
      <c r="CE69" s="125"/>
      <c r="CF69" s="102"/>
      <c r="CG69" s="102"/>
      <c r="CH69" s="102"/>
      <c r="CI69" s="102"/>
      <c r="CJ69" s="102"/>
      <c r="CK69" s="102"/>
      <c r="CL69" s="102"/>
      <c r="CM69" s="64" t="s">
        <v>832</v>
      </c>
      <c r="CN69" s="121"/>
      <c r="CO69" s="128"/>
      <c r="CP69" s="123" t="s">
        <v>714</v>
      </c>
      <c r="CQ69" s="124" t="s">
        <v>581</v>
      </c>
      <c r="CR69" s="124"/>
      <c r="CS69" s="124"/>
      <c r="CT69" s="125"/>
      <c r="CU69" s="102"/>
      <c r="CV69" s="102"/>
      <c r="CW69" s="102"/>
      <c r="CX69" s="102"/>
      <c r="CY69" s="102"/>
      <c r="CZ69" s="102"/>
      <c r="DA69" s="102"/>
      <c r="DB69" s="102"/>
      <c r="DC69" s="102">
        <f t="shared" si="106"/>
        <v>2000</v>
      </c>
    </row>
    <row r="70" spans="1:107" s="62" customFormat="1" ht="15" thickBot="1">
      <c r="A70" s="64" t="s">
        <v>173</v>
      </c>
      <c r="B70" s="121"/>
      <c r="C70" s="128"/>
      <c r="D70" s="123" t="s">
        <v>715</v>
      </c>
      <c r="E70" s="124" t="s">
        <v>716</v>
      </c>
      <c r="F70" s="63"/>
      <c r="G70" s="124"/>
      <c r="H70" s="125"/>
      <c r="I70" s="102">
        <f>Javaslat!N143</f>
        <v>18</v>
      </c>
      <c r="J70" s="102"/>
      <c r="K70" s="102">
        <f>Javaslat!N153</f>
        <v>35371</v>
      </c>
      <c r="L70" s="102"/>
      <c r="M70" s="102"/>
      <c r="N70" s="102"/>
      <c r="O70" s="102"/>
      <c r="P70" s="64" t="s">
        <v>273</v>
      </c>
      <c r="Q70" s="121"/>
      <c r="R70" s="128"/>
      <c r="S70" s="123" t="s">
        <v>715</v>
      </c>
      <c r="T70" s="124" t="s">
        <v>716</v>
      </c>
      <c r="U70" s="63"/>
      <c r="V70" s="124"/>
      <c r="W70" s="125"/>
      <c r="X70" s="102"/>
      <c r="Y70" s="102"/>
      <c r="Z70" s="102"/>
      <c r="AA70" s="102"/>
      <c r="AB70" s="102"/>
      <c r="AC70" s="102"/>
      <c r="AD70" s="102"/>
      <c r="AE70" s="64" t="s">
        <v>347</v>
      </c>
      <c r="AF70" s="121"/>
      <c r="AG70" s="128"/>
      <c r="AH70" s="123" t="s">
        <v>715</v>
      </c>
      <c r="AI70" s="124" t="s">
        <v>716</v>
      </c>
      <c r="AJ70" s="63"/>
      <c r="AK70" s="124"/>
      <c r="AL70" s="125"/>
      <c r="AM70" s="102"/>
      <c r="AN70" s="102"/>
      <c r="AO70" s="102"/>
      <c r="AP70" s="102"/>
      <c r="AQ70" s="102"/>
      <c r="AR70" s="102"/>
      <c r="AS70" s="102"/>
      <c r="AT70" s="64" t="s">
        <v>422</v>
      </c>
      <c r="AU70" s="121"/>
      <c r="AV70" s="128"/>
      <c r="AW70" s="123" t="s">
        <v>715</v>
      </c>
      <c r="AX70" s="124" t="s">
        <v>716</v>
      </c>
      <c r="AY70" s="63"/>
      <c r="AZ70" s="124"/>
      <c r="BA70" s="125"/>
      <c r="BB70" s="102"/>
      <c r="BC70" s="102"/>
      <c r="BD70" s="102"/>
      <c r="BE70" s="102"/>
      <c r="BF70" s="102"/>
      <c r="BG70" s="102">
        <v>29772</v>
      </c>
      <c r="BH70" s="102"/>
      <c r="BI70" s="64" t="s">
        <v>495</v>
      </c>
      <c r="BJ70" s="121"/>
      <c r="BK70" s="128"/>
      <c r="BL70" s="123" t="s">
        <v>715</v>
      </c>
      <c r="BM70" s="124" t="s">
        <v>716</v>
      </c>
      <c r="BN70" s="63"/>
      <c r="BO70" s="124"/>
      <c r="BP70" s="125"/>
      <c r="BQ70" s="102"/>
      <c r="BR70" s="102"/>
      <c r="BS70" s="102"/>
      <c r="BT70" s="102">
        <v>18900</v>
      </c>
      <c r="BU70" s="102"/>
      <c r="BV70" s="102">
        <f>Javaslat!N323</f>
        <v>15150</v>
      </c>
      <c r="BW70" s="102"/>
      <c r="BX70" s="64" t="s">
        <v>759</v>
      </c>
      <c r="BY70" s="121"/>
      <c r="BZ70" s="128"/>
      <c r="CA70" s="123" t="s">
        <v>715</v>
      </c>
      <c r="CB70" s="124" t="s">
        <v>716</v>
      </c>
      <c r="CC70" s="63"/>
      <c r="CD70" s="124"/>
      <c r="CE70" s="125"/>
      <c r="CF70" s="102">
        <v>5000</v>
      </c>
      <c r="CG70" s="102"/>
      <c r="CH70" s="102"/>
      <c r="CI70" s="102">
        <v>2200</v>
      </c>
      <c r="CJ70" s="102"/>
      <c r="CK70" s="102"/>
      <c r="CL70" s="102"/>
      <c r="CM70" s="64" t="s">
        <v>833</v>
      </c>
      <c r="CN70" s="121"/>
      <c r="CO70" s="128"/>
      <c r="CP70" s="123" t="s">
        <v>715</v>
      </c>
      <c r="CQ70" s="124" t="s">
        <v>716</v>
      </c>
      <c r="CR70" s="63"/>
      <c r="CS70" s="124"/>
      <c r="CT70" s="125"/>
      <c r="CU70" s="102"/>
      <c r="CV70" s="102"/>
      <c r="CW70" s="102"/>
      <c r="CX70" s="102"/>
      <c r="CY70" s="102"/>
      <c r="CZ70" s="102"/>
      <c r="DA70" s="102"/>
      <c r="DB70" s="102"/>
      <c r="DC70" s="102">
        <f t="shared" si="106"/>
        <v>106411</v>
      </c>
    </row>
    <row r="71" spans="1:107" s="62" customFormat="1" ht="15" thickBot="1">
      <c r="A71" s="64" t="s">
        <v>174</v>
      </c>
      <c r="B71" s="121"/>
      <c r="C71" s="128"/>
      <c r="D71" s="123" t="s">
        <v>717</v>
      </c>
      <c r="E71" s="124" t="s">
        <v>582</v>
      </c>
      <c r="F71" s="63"/>
      <c r="G71" s="124"/>
      <c r="H71" s="125"/>
      <c r="I71" s="103"/>
      <c r="J71" s="103"/>
      <c r="K71" s="103"/>
      <c r="L71" s="103"/>
      <c r="M71" s="103"/>
      <c r="N71" s="103"/>
      <c r="O71" s="103"/>
      <c r="P71" s="64" t="s">
        <v>274</v>
      </c>
      <c r="Q71" s="121"/>
      <c r="R71" s="128"/>
      <c r="S71" s="123" t="s">
        <v>717</v>
      </c>
      <c r="T71" s="124" t="s">
        <v>582</v>
      </c>
      <c r="U71" s="63"/>
      <c r="V71" s="124"/>
      <c r="W71" s="125"/>
      <c r="X71" s="103"/>
      <c r="Y71" s="103"/>
      <c r="Z71" s="103"/>
      <c r="AA71" s="103"/>
      <c r="AB71" s="103"/>
      <c r="AC71" s="103"/>
      <c r="AD71" s="103"/>
      <c r="AE71" s="64" t="s">
        <v>348</v>
      </c>
      <c r="AF71" s="121"/>
      <c r="AG71" s="128"/>
      <c r="AH71" s="123" t="s">
        <v>717</v>
      </c>
      <c r="AI71" s="124" t="s">
        <v>582</v>
      </c>
      <c r="AJ71" s="63"/>
      <c r="AK71" s="124"/>
      <c r="AL71" s="125"/>
      <c r="AM71" s="103"/>
      <c r="AN71" s="103"/>
      <c r="AO71" s="103"/>
      <c r="AP71" s="103"/>
      <c r="AQ71" s="103"/>
      <c r="AR71" s="103"/>
      <c r="AS71" s="103"/>
      <c r="AT71" s="64" t="s">
        <v>423</v>
      </c>
      <c r="AU71" s="121"/>
      <c r="AV71" s="128"/>
      <c r="AW71" s="123" t="s">
        <v>717</v>
      </c>
      <c r="AX71" s="124" t="s">
        <v>582</v>
      </c>
      <c r="AY71" s="63"/>
      <c r="AZ71" s="124"/>
      <c r="BA71" s="125"/>
      <c r="BB71" s="103"/>
      <c r="BC71" s="103"/>
      <c r="BD71" s="103"/>
      <c r="BE71" s="103"/>
      <c r="BF71" s="103"/>
      <c r="BG71" s="103"/>
      <c r="BH71" s="103"/>
      <c r="BI71" s="64" t="s">
        <v>496</v>
      </c>
      <c r="BJ71" s="121"/>
      <c r="BK71" s="128"/>
      <c r="BL71" s="123" t="s">
        <v>717</v>
      </c>
      <c r="BM71" s="124" t="s">
        <v>582</v>
      </c>
      <c r="BN71" s="63"/>
      <c r="BO71" s="124"/>
      <c r="BP71" s="125"/>
      <c r="BQ71" s="103"/>
      <c r="BR71" s="103"/>
      <c r="BS71" s="103"/>
      <c r="BT71" s="103"/>
      <c r="BU71" s="103"/>
      <c r="BV71" s="103"/>
      <c r="BW71" s="103"/>
      <c r="BX71" s="64" t="s">
        <v>760</v>
      </c>
      <c r="BY71" s="121"/>
      <c r="BZ71" s="128"/>
      <c r="CA71" s="123" t="s">
        <v>717</v>
      </c>
      <c r="CB71" s="124" t="s">
        <v>582</v>
      </c>
      <c r="CC71" s="63"/>
      <c r="CD71" s="124"/>
      <c r="CE71" s="125"/>
      <c r="CF71" s="103"/>
      <c r="CG71" s="103"/>
      <c r="CH71" s="103"/>
      <c r="CI71" s="103"/>
      <c r="CJ71" s="103"/>
      <c r="CK71" s="103"/>
      <c r="CL71" s="103"/>
      <c r="CM71" s="64" t="s">
        <v>834</v>
      </c>
      <c r="CN71" s="121"/>
      <c r="CO71" s="128"/>
      <c r="CP71" s="123" t="s">
        <v>717</v>
      </c>
      <c r="CQ71" s="124" t="s">
        <v>582</v>
      </c>
      <c r="CR71" s="63"/>
      <c r="CS71" s="124"/>
      <c r="CT71" s="125"/>
      <c r="CU71" s="103"/>
      <c r="CV71" s="103"/>
      <c r="CW71" s="103"/>
      <c r="CX71" s="103"/>
      <c r="CY71" s="103"/>
      <c r="CZ71" s="103"/>
      <c r="DA71" s="103"/>
      <c r="DB71" s="103">
        <f>263501+Javaslat!N359</f>
        <v>360876</v>
      </c>
      <c r="DC71" s="102">
        <f t="shared" si="106"/>
        <v>360876</v>
      </c>
    </row>
    <row r="72" spans="1:107" s="150" customFormat="1" ht="30" customHeight="1" thickBot="1">
      <c r="A72" s="64" t="s">
        <v>175</v>
      </c>
      <c r="B72" s="186" t="s">
        <v>594</v>
      </c>
      <c r="C72" s="171"/>
      <c r="D72" s="172"/>
      <c r="E72" s="172"/>
      <c r="F72" s="172"/>
      <c r="G72" s="172"/>
      <c r="H72" s="172"/>
      <c r="I72" s="147">
        <f>SUM(I53,I64)</f>
        <v>151972</v>
      </c>
      <c r="J72" s="147">
        <f aca="true" t="shared" si="128" ref="J72:O72">SUM(J53,J64)</f>
        <v>29000</v>
      </c>
      <c r="K72" s="147">
        <f t="shared" si="128"/>
        <v>1156748</v>
      </c>
      <c r="L72" s="147">
        <f t="shared" si="128"/>
        <v>410389</v>
      </c>
      <c r="M72" s="147">
        <f t="shared" si="128"/>
        <v>0</v>
      </c>
      <c r="N72" s="147">
        <f t="shared" si="128"/>
        <v>52505</v>
      </c>
      <c r="O72" s="147">
        <f t="shared" si="128"/>
        <v>0</v>
      </c>
      <c r="P72" s="64" t="s">
        <v>275</v>
      </c>
      <c r="Q72" s="186" t="s">
        <v>594</v>
      </c>
      <c r="R72" s="171"/>
      <c r="S72" s="172"/>
      <c r="T72" s="172"/>
      <c r="U72" s="172"/>
      <c r="V72" s="172"/>
      <c r="W72" s="172"/>
      <c r="X72" s="147">
        <f>SUM(X53,X64)</f>
        <v>0</v>
      </c>
      <c r="Y72" s="147">
        <f aca="true" t="shared" si="129" ref="Y72:AD72">SUM(Y53,Y64)</f>
        <v>89423</v>
      </c>
      <c r="Z72" s="147">
        <f t="shared" si="129"/>
        <v>180</v>
      </c>
      <c r="AA72" s="147">
        <f t="shared" si="129"/>
        <v>37461</v>
      </c>
      <c r="AB72" s="147">
        <f t="shared" si="129"/>
        <v>56349</v>
      </c>
      <c r="AC72" s="147">
        <f t="shared" si="129"/>
        <v>6350</v>
      </c>
      <c r="AD72" s="147">
        <f t="shared" si="129"/>
        <v>31966</v>
      </c>
      <c r="AE72" s="64" t="s">
        <v>349</v>
      </c>
      <c r="AF72" s="186" t="s">
        <v>594</v>
      </c>
      <c r="AG72" s="171"/>
      <c r="AH72" s="172"/>
      <c r="AI72" s="172"/>
      <c r="AJ72" s="172"/>
      <c r="AK72" s="172"/>
      <c r="AL72" s="172"/>
      <c r="AM72" s="147">
        <f>SUM(AM53,AM64)</f>
        <v>748341</v>
      </c>
      <c r="AN72" s="147">
        <f aca="true" t="shared" si="130" ref="AN72:AS72">SUM(AN53,AN64)</f>
        <v>33951</v>
      </c>
      <c r="AO72" s="147">
        <f t="shared" si="130"/>
        <v>3914</v>
      </c>
      <c r="AP72" s="147">
        <f t="shared" si="130"/>
        <v>1100</v>
      </c>
      <c r="AQ72" s="147">
        <f t="shared" si="130"/>
        <v>49190</v>
      </c>
      <c r="AR72" s="147">
        <f t="shared" si="130"/>
        <v>46890</v>
      </c>
      <c r="AS72" s="147">
        <f t="shared" si="130"/>
        <v>2000</v>
      </c>
      <c r="AT72" s="64" t="s">
        <v>424</v>
      </c>
      <c r="AU72" s="186" t="s">
        <v>594</v>
      </c>
      <c r="AV72" s="171"/>
      <c r="AW72" s="172"/>
      <c r="AX72" s="172"/>
      <c r="AY72" s="172"/>
      <c r="AZ72" s="172"/>
      <c r="BA72" s="172"/>
      <c r="BB72" s="147">
        <f>SUM(BB53,BB64)</f>
        <v>6690</v>
      </c>
      <c r="BC72" s="147">
        <f aca="true" t="shared" si="131" ref="BC72:BH72">SUM(BC53,BC64)</f>
        <v>13278</v>
      </c>
      <c r="BD72" s="147">
        <f t="shared" si="131"/>
        <v>7684</v>
      </c>
      <c r="BE72" s="147">
        <f t="shared" si="131"/>
        <v>73401</v>
      </c>
      <c r="BF72" s="147">
        <f t="shared" si="131"/>
        <v>59600</v>
      </c>
      <c r="BG72" s="147">
        <f t="shared" si="131"/>
        <v>29772</v>
      </c>
      <c r="BH72" s="147">
        <f t="shared" si="131"/>
        <v>3500</v>
      </c>
      <c r="BI72" s="64" t="s">
        <v>497</v>
      </c>
      <c r="BJ72" s="186" t="s">
        <v>594</v>
      </c>
      <c r="BK72" s="171"/>
      <c r="BL72" s="172"/>
      <c r="BM72" s="172"/>
      <c r="BN72" s="172"/>
      <c r="BO72" s="172"/>
      <c r="BP72" s="172"/>
      <c r="BQ72" s="147">
        <f>SUM(BQ53,BQ64)</f>
        <v>2000</v>
      </c>
      <c r="BR72" s="147">
        <f aca="true" t="shared" si="132" ref="BR72:BW72">SUM(BR53,BR64)</f>
        <v>29831</v>
      </c>
      <c r="BS72" s="147">
        <f t="shared" si="132"/>
        <v>14860</v>
      </c>
      <c r="BT72" s="147">
        <f t="shared" si="132"/>
        <v>35458</v>
      </c>
      <c r="BU72" s="147">
        <f t="shared" si="132"/>
        <v>38836</v>
      </c>
      <c r="BV72" s="147">
        <f t="shared" si="132"/>
        <v>15950</v>
      </c>
      <c r="BW72" s="147">
        <f t="shared" si="132"/>
        <v>56729</v>
      </c>
      <c r="BX72" s="64" t="s">
        <v>761</v>
      </c>
      <c r="BY72" s="186" t="s">
        <v>594</v>
      </c>
      <c r="BZ72" s="171"/>
      <c r="CA72" s="172"/>
      <c r="CB72" s="172"/>
      <c r="CC72" s="172"/>
      <c r="CD72" s="172"/>
      <c r="CE72" s="172"/>
      <c r="CF72" s="147">
        <f>SUM(CF53,CF64)</f>
        <v>29153</v>
      </c>
      <c r="CG72" s="147">
        <f aca="true" t="shared" si="133" ref="CG72:CL72">SUM(CG53,CG64)</f>
        <v>21710</v>
      </c>
      <c r="CH72" s="147">
        <f t="shared" si="133"/>
        <v>2250</v>
      </c>
      <c r="CI72" s="147">
        <f t="shared" si="133"/>
        <v>11700</v>
      </c>
      <c r="CJ72" s="147">
        <f t="shared" si="133"/>
        <v>4525</v>
      </c>
      <c r="CK72" s="147">
        <f t="shared" si="133"/>
        <v>2500</v>
      </c>
      <c r="CL72" s="147">
        <f t="shared" si="133"/>
        <v>6680</v>
      </c>
      <c r="CM72" s="64" t="s">
        <v>1366</v>
      </c>
      <c r="CN72" s="186" t="s">
        <v>963</v>
      </c>
      <c r="CO72" s="171"/>
      <c r="CP72" s="172"/>
      <c r="CQ72" s="172"/>
      <c r="CR72" s="172"/>
      <c r="CS72" s="172"/>
      <c r="CT72" s="172"/>
      <c r="CU72" s="147">
        <f>SUM(CU53,CU64)</f>
        <v>2792</v>
      </c>
      <c r="CV72" s="147">
        <f aca="true" t="shared" si="134" ref="CV72:DB72">SUM(CV53,CV64)</f>
        <v>8060</v>
      </c>
      <c r="CW72" s="147">
        <f t="shared" si="134"/>
        <v>320</v>
      </c>
      <c r="CX72" s="147">
        <f t="shared" si="134"/>
        <v>1448</v>
      </c>
      <c r="CY72" s="147">
        <f>SUM(CY53,CY64)</f>
        <v>3000</v>
      </c>
      <c r="CZ72" s="147">
        <f t="shared" si="134"/>
        <v>10924</v>
      </c>
      <c r="DA72" s="147">
        <f>SUM(DA53,DA64)</f>
        <v>0</v>
      </c>
      <c r="DB72" s="147">
        <f t="shared" si="134"/>
        <v>391202</v>
      </c>
      <c r="DC72" s="147">
        <f t="shared" si="106"/>
        <v>3791582</v>
      </c>
    </row>
    <row r="73" spans="1:107" s="157" customFormat="1" ht="16.5" thickBot="1">
      <c r="A73" s="64" t="s">
        <v>176</v>
      </c>
      <c r="B73" s="154" t="s">
        <v>112</v>
      </c>
      <c r="C73" s="155" t="s">
        <v>583</v>
      </c>
      <c r="D73" s="155"/>
      <c r="E73" s="155"/>
      <c r="F73" s="155"/>
      <c r="G73" s="155"/>
      <c r="H73" s="155"/>
      <c r="I73" s="156">
        <f>SUM(I74,I76)</f>
        <v>0</v>
      </c>
      <c r="J73" s="156">
        <f aca="true" t="shared" si="135" ref="J73:O73">SUM(J74,J76)</f>
        <v>0</v>
      </c>
      <c r="K73" s="156">
        <f t="shared" si="135"/>
        <v>0</v>
      </c>
      <c r="L73" s="156">
        <f t="shared" si="135"/>
        <v>0</v>
      </c>
      <c r="M73" s="156">
        <f t="shared" si="135"/>
        <v>0</v>
      </c>
      <c r="N73" s="156">
        <f t="shared" si="135"/>
        <v>0</v>
      </c>
      <c r="O73" s="156">
        <f t="shared" si="135"/>
        <v>0</v>
      </c>
      <c r="P73" s="64" t="s">
        <v>276</v>
      </c>
      <c r="Q73" s="154" t="s">
        <v>112</v>
      </c>
      <c r="R73" s="155" t="s">
        <v>583</v>
      </c>
      <c r="S73" s="155"/>
      <c r="T73" s="155"/>
      <c r="U73" s="155"/>
      <c r="V73" s="155"/>
      <c r="W73" s="155"/>
      <c r="X73" s="156">
        <f aca="true" t="shared" si="136" ref="X73:AD73">SUM(X74,X76)</f>
        <v>0</v>
      </c>
      <c r="Y73" s="156">
        <f t="shared" si="136"/>
        <v>1254955</v>
      </c>
      <c r="Z73" s="156">
        <f t="shared" si="136"/>
        <v>0</v>
      </c>
      <c r="AA73" s="156">
        <f t="shared" si="136"/>
        <v>0</v>
      </c>
      <c r="AB73" s="156">
        <f t="shared" si="136"/>
        <v>0</v>
      </c>
      <c r="AC73" s="156">
        <f t="shared" si="136"/>
        <v>0</v>
      </c>
      <c r="AD73" s="156">
        <f t="shared" si="136"/>
        <v>0</v>
      </c>
      <c r="AE73" s="64" t="s">
        <v>351</v>
      </c>
      <c r="AF73" s="154" t="s">
        <v>112</v>
      </c>
      <c r="AG73" s="155" t="s">
        <v>583</v>
      </c>
      <c r="AH73" s="155"/>
      <c r="AI73" s="155"/>
      <c r="AJ73" s="155"/>
      <c r="AK73" s="155"/>
      <c r="AL73" s="155"/>
      <c r="AM73" s="156">
        <f aca="true" t="shared" si="137" ref="AM73:AS73">SUM(AM74,AM76)</f>
        <v>0</v>
      </c>
      <c r="AN73" s="156">
        <f t="shared" si="137"/>
        <v>0</v>
      </c>
      <c r="AO73" s="156">
        <f t="shared" si="137"/>
        <v>0</v>
      </c>
      <c r="AP73" s="156">
        <f t="shared" si="137"/>
        <v>0</v>
      </c>
      <c r="AQ73" s="156">
        <f t="shared" si="137"/>
        <v>0</v>
      </c>
      <c r="AR73" s="156">
        <f t="shared" si="137"/>
        <v>0</v>
      </c>
      <c r="AS73" s="156">
        <f t="shared" si="137"/>
        <v>0</v>
      </c>
      <c r="AT73" s="64" t="s">
        <v>425</v>
      </c>
      <c r="AU73" s="154" t="s">
        <v>112</v>
      </c>
      <c r="AV73" s="155" t="s">
        <v>583</v>
      </c>
      <c r="AW73" s="155"/>
      <c r="AX73" s="155"/>
      <c r="AY73" s="155"/>
      <c r="AZ73" s="155"/>
      <c r="BA73" s="155"/>
      <c r="BB73" s="156">
        <f aca="true" t="shared" si="138" ref="BB73:BH73">SUM(BB74,BB76)</f>
        <v>0</v>
      </c>
      <c r="BC73" s="156">
        <f t="shared" si="138"/>
        <v>0</v>
      </c>
      <c r="BD73" s="156">
        <f t="shared" si="138"/>
        <v>0</v>
      </c>
      <c r="BE73" s="156">
        <f t="shared" si="138"/>
        <v>0</v>
      </c>
      <c r="BF73" s="156">
        <f t="shared" si="138"/>
        <v>0</v>
      </c>
      <c r="BG73" s="156">
        <f t="shared" si="138"/>
        <v>0</v>
      </c>
      <c r="BH73" s="156">
        <f t="shared" si="138"/>
        <v>0</v>
      </c>
      <c r="BI73" s="64" t="s">
        <v>498</v>
      </c>
      <c r="BJ73" s="154" t="s">
        <v>112</v>
      </c>
      <c r="BK73" s="155" t="s">
        <v>583</v>
      </c>
      <c r="BL73" s="155"/>
      <c r="BM73" s="155"/>
      <c r="BN73" s="155"/>
      <c r="BO73" s="155"/>
      <c r="BP73" s="155"/>
      <c r="BQ73" s="156">
        <f aca="true" t="shared" si="139" ref="BQ73:BW73">SUM(BQ74,BQ76)</f>
        <v>0</v>
      </c>
      <c r="BR73" s="156">
        <f t="shared" si="139"/>
        <v>0</v>
      </c>
      <c r="BS73" s="156">
        <f t="shared" si="139"/>
        <v>0</v>
      </c>
      <c r="BT73" s="156">
        <f t="shared" si="139"/>
        <v>0</v>
      </c>
      <c r="BU73" s="156">
        <f t="shared" si="139"/>
        <v>0</v>
      </c>
      <c r="BV73" s="156">
        <f t="shared" si="139"/>
        <v>0</v>
      </c>
      <c r="BW73" s="156">
        <f t="shared" si="139"/>
        <v>0</v>
      </c>
      <c r="BX73" s="64" t="s">
        <v>762</v>
      </c>
      <c r="BY73" s="154" t="s">
        <v>112</v>
      </c>
      <c r="BZ73" s="155" t="s">
        <v>583</v>
      </c>
      <c r="CA73" s="155"/>
      <c r="CB73" s="155"/>
      <c r="CC73" s="155"/>
      <c r="CD73" s="155"/>
      <c r="CE73" s="155"/>
      <c r="CF73" s="156">
        <f aca="true" t="shared" si="140" ref="CF73:CL73">SUM(CF74,CF76)</f>
        <v>0</v>
      </c>
      <c r="CG73" s="156">
        <f t="shared" si="140"/>
        <v>0</v>
      </c>
      <c r="CH73" s="156">
        <f t="shared" si="140"/>
        <v>0</v>
      </c>
      <c r="CI73" s="156">
        <f t="shared" si="140"/>
        <v>0</v>
      </c>
      <c r="CJ73" s="156">
        <f t="shared" si="140"/>
        <v>0</v>
      </c>
      <c r="CK73" s="156">
        <f t="shared" si="140"/>
        <v>0</v>
      </c>
      <c r="CL73" s="156">
        <f t="shared" si="140"/>
        <v>0</v>
      </c>
      <c r="CM73" s="64" t="s">
        <v>1367</v>
      </c>
      <c r="CN73" s="154" t="s">
        <v>112</v>
      </c>
      <c r="CO73" s="155" t="s">
        <v>583</v>
      </c>
      <c r="CP73" s="155"/>
      <c r="CQ73" s="155"/>
      <c r="CR73" s="155"/>
      <c r="CS73" s="155"/>
      <c r="CT73" s="155"/>
      <c r="CU73" s="156">
        <f aca="true" t="shared" si="141" ref="CU73:DB73">SUM(CU74,CU76)</f>
        <v>0</v>
      </c>
      <c r="CV73" s="156">
        <f t="shared" si="141"/>
        <v>0</v>
      </c>
      <c r="CW73" s="156">
        <f t="shared" si="141"/>
        <v>0</v>
      </c>
      <c r="CX73" s="156">
        <f t="shared" si="141"/>
        <v>0</v>
      </c>
      <c r="CY73" s="156">
        <f t="shared" si="141"/>
        <v>0</v>
      </c>
      <c r="CZ73" s="156">
        <f t="shared" si="141"/>
        <v>0</v>
      </c>
      <c r="DA73" s="156">
        <f>SUM(DA74,DA76)</f>
        <v>346966</v>
      </c>
      <c r="DB73" s="156">
        <f t="shared" si="141"/>
        <v>0</v>
      </c>
      <c r="DC73" s="156">
        <f t="shared" si="106"/>
        <v>1601921</v>
      </c>
    </row>
    <row r="74" spans="1:107" s="157" customFormat="1" ht="16.5" thickBot="1">
      <c r="A74" s="64" t="s">
        <v>177</v>
      </c>
      <c r="B74" s="158"/>
      <c r="C74" s="173" t="s">
        <v>113</v>
      </c>
      <c r="D74" s="174" t="s">
        <v>587</v>
      </c>
      <c r="E74" s="174"/>
      <c r="F74" s="174"/>
      <c r="G74" s="174"/>
      <c r="H74" s="175"/>
      <c r="I74" s="194">
        <f>SUM(I75)</f>
        <v>0</v>
      </c>
      <c r="J74" s="194">
        <f aca="true" t="shared" si="142" ref="J74:O74">SUM(J75)</f>
        <v>0</v>
      </c>
      <c r="K74" s="194">
        <f t="shared" si="142"/>
        <v>0</v>
      </c>
      <c r="L74" s="194">
        <f t="shared" si="142"/>
        <v>0</v>
      </c>
      <c r="M74" s="194">
        <f t="shared" si="142"/>
        <v>0</v>
      </c>
      <c r="N74" s="194">
        <f t="shared" si="142"/>
        <v>0</v>
      </c>
      <c r="O74" s="194">
        <f t="shared" si="142"/>
        <v>0</v>
      </c>
      <c r="P74" s="64" t="s">
        <v>277</v>
      </c>
      <c r="Q74" s="158"/>
      <c r="R74" s="173" t="s">
        <v>113</v>
      </c>
      <c r="S74" s="174" t="s">
        <v>587</v>
      </c>
      <c r="T74" s="174"/>
      <c r="U74" s="174"/>
      <c r="V74" s="174"/>
      <c r="W74" s="175"/>
      <c r="X74" s="194">
        <f aca="true" t="shared" si="143" ref="X74:AD74">SUM(X75)</f>
        <v>0</v>
      </c>
      <c r="Y74" s="194">
        <f t="shared" si="143"/>
        <v>0</v>
      </c>
      <c r="Z74" s="194">
        <f t="shared" si="143"/>
        <v>0</v>
      </c>
      <c r="AA74" s="194">
        <f t="shared" si="143"/>
        <v>0</v>
      </c>
      <c r="AB74" s="194">
        <f t="shared" si="143"/>
        <v>0</v>
      </c>
      <c r="AC74" s="194">
        <f t="shared" si="143"/>
        <v>0</v>
      </c>
      <c r="AD74" s="194">
        <f t="shared" si="143"/>
        <v>0</v>
      </c>
      <c r="AE74" s="64" t="s">
        <v>352</v>
      </c>
      <c r="AF74" s="226"/>
      <c r="AG74" s="227" t="s">
        <v>113</v>
      </c>
      <c r="AH74" s="174" t="s">
        <v>587</v>
      </c>
      <c r="AI74" s="174"/>
      <c r="AJ74" s="174"/>
      <c r="AK74" s="174"/>
      <c r="AL74" s="175"/>
      <c r="AM74" s="223">
        <f aca="true" t="shared" si="144" ref="AM74:AS74">SUM(AM75)</f>
        <v>0</v>
      </c>
      <c r="AN74" s="194">
        <f t="shared" si="144"/>
        <v>0</v>
      </c>
      <c r="AO74" s="194">
        <f t="shared" si="144"/>
        <v>0</v>
      </c>
      <c r="AP74" s="194">
        <f t="shared" si="144"/>
        <v>0</v>
      </c>
      <c r="AQ74" s="194">
        <f t="shared" si="144"/>
        <v>0</v>
      </c>
      <c r="AR74" s="194">
        <f t="shared" si="144"/>
        <v>0</v>
      </c>
      <c r="AS74" s="194">
        <f t="shared" si="144"/>
        <v>0</v>
      </c>
      <c r="AT74" s="64" t="s">
        <v>426</v>
      </c>
      <c r="AU74" s="158"/>
      <c r="AV74" s="173" t="s">
        <v>113</v>
      </c>
      <c r="AW74" s="174" t="s">
        <v>587</v>
      </c>
      <c r="AX74" s="174"/>
      <c r="AY74" s="174"/>
      <c r="AZ74" s="174"/>
      <c r="BA74" s="175"/>
      <c r="BB74" s="194">
        <f aca="true" t="shared" si="145" ref="BB74:BH74">SUM(BB75)</f>
        <v>0</v>
      </c>
      <c r="BC74" s="194">
        <f t="shared" si="145"/>
        <v>0</v>
      </c>
      <c r="BD74" s="194">
        <f t="shared" si="145"/>
        <v>0</v>
      </c>
      <c r="BE74" s="194">
        <f t="shared" si="145"/>
        <v>0</v>
      </c>
      <c r="BF74" s="194">
        <f t="shared" si="145"/>
        <v>0</v>
      </c>
      <c r="BG74" s="194">
        <f t="shared" si="145"/>
        <v>0</v>
      </c>
      <c r="BH74" s="194">
        <f t="shared" si="145"/>
        <v>0</v>
      </c>
      <c r="BI74" s="64" t="s">
        <v>499</v>
      </c>
      <c r="BJ74" s="158"/>
      <c r="BK74" s="173" t="s">
        <v>113</v>
      </c>
      <c r="BL74" s="174" t="s">
        <v>587</v>
      </c>
      <c r="BM74" s="174"/>
      <c r="BN74" s="174"/>
      <c r="BO74" s="174"/>
      <c r="BP74" s="175"/>
      <c r="BQ74" s="194">
        <f aca="true" t="shared" si="146" ref="BQ74:BW74">SUM(BQ75)</f>
        <v>0</v>
      </c>
      <c r="BR74" s="194">
        <f t="shared" si="146"/>
        <v>0</v>
      </c>
      <c r="BS74" s="194">
        <f t="shared" si="146"/>
        <v>0</v>
      </c>
      <c r="BT74" s="194">
        <f t="shared" si="146"/>
        <v>0</v>
      </c>
      <c r="BU74" s="194">
        <f t="shared" si="146"/>
        <v>0</v>
      </c>
      <c r="BV74" s="194">
        <f t="shared" si="146"/>
        <v>0</v>
      </c>
      <c r="BW74" s="194">
        <f t="shared" si="146"/>
        <v>0</v>
      </c>
      <c r="BX74" s="64" t="s">
        <v>763</v>
      </c>
      <c r="BY74" s="226"/>
      <c r="BZ74" s="227" t="s">
        <v>113</v>
      </c>
      <c r="CA74" s="174" t="s">
        <v>587</v>
      </c>
      <c r="CB74" s="174"/>
      <c r="CC74" s="174"/>
      <c r="CD74" s="174"/>
      <c r="CE74" s="175"/>
      <c r="CF74" s="223">
        <f aca="true" t="shared" si="147" ref="CF74:CL74">SUM(CF75)</f>
        <v>0</v>
      </c>
      <c r="CG74" s="194">
        <f t="shared" si="147"/>
        <v>0</v>
      </c>
      <c r="CH74" s="194">
        <f t="shared" si="147"/>
        <v>0</v>
      </c>
      <c r="CI74" s="194">
        <f t="shared" si="147"/>
        <v>0</v>
      </c>
      <c r="CJ74" s="194">
        <f t="shared" si="147"/>
        <v>0</v>
      </c>
      <c r="CK74" s="194">
        <f t="shared" si="147"/>
        <v>0</v>
      </c>
      <c r="CL74" s="194">
        <f t="shared" si="147"/>
        <v>0</v>
      </c>
      <c r="CM74" s="64" t="s">
        <v>1368</v>
      </c>
      <c r="CN74" s="158"/>
      <c r="CO74" s="173" t="s">
        <v>113</v>
      </c>
      <c r="CP74" s="174" t="s">
        <v>587</v>
      </c>
      <c r="CQ74" s="174"/>
      <c r="CR74" s="174"/>
      <c r="CS74" s="174"/>
      <c r="CT74" s="175"/>
      <c r="CU74" s="194">
        <f aca="true" t="shared" si="148" ref="CU74:DB74">SUM(CU75)</f>
        <v>0</v>
      </c>
      <c r="CV74" s="194">
        <f t="shared" si="148"/>
        <v>0</v>
      </c>
      <c r="CW74" s="194">
        <f t="shared" si="148"/>
        <v>0</v>
      </c>
      <c r="CX74" s="194">
        <f t="shared" si="148"/>
        <v>0</v>
      </c>
      <c r="CY74" s="194">
        <f t="shared" si="148"/>
        <v>0</v>
      </c>
      <c r="CZ74" s="194">
        <f t="shared" si="148"/>
        <v>0</v>
      </c>
      <c r="DA74" s="194">
        <f t="shared" si="148"/>
        <v>346966</v>
      </c>
      <c r="DB74" s="194">
        <f t="shared" si="148"/>
        <v>0</v>
      </c>
      <c r="DC74" s="194">
        <f t="shared" si="106"/>
        <v>346966</v>
      </c>
    </row>
    <row r="75" spans="1:107" s="110" customFormat="1" ht="15" customHeight="1" thickBot="1">
      <c r="A75" s="64" t="s">
        <v>178</v>
      </c>
      <c r="B75" s="109"/>
      <c r="C75" s="95"/>
      <c r="D75" s="129" t="s">
        <v>698</v>
      </c>
      <c r="E75" s="107" t="s">
        <v>718</v>
      </c>
      <c r="F75" s="107"/>
      <c r="G75" s="107"/>
      <c r="H75" s="107"/>
      <c r="I75" s="108"/>
      <c r="J75" s="108"/>
      <c r="K75" s="108"/>
      <c r="L75" s="108"/>
      <c r="M75" s="108"/>
      <c r="N75" s="108"/>
      <c r="O75" s="108"/>
      <c r="P75" s="64" t="s">
        <v>278</v>
      </c>
      <c r="Q75" s="109"/>
      <c r="R75" s="95"/>
      <c r="S75" s="129" t="s">
        <v>698</v>
      </c>
      <c r="T75" s="107" t="s">
        <v>718</v>
      </c>
      <c r="U75" s="107"/>
      <c r="V75" s="107"/>
      <c r="W75" s="214"/>
      <c r="X75" s="206"/>
      <c r="Y75" s="206"/>
      <c r="Z75" s="206"/>
      <c r="AA75" s="206"/>
      <c r="AB75" s="206"/>
      <c r="AC75" s="206"/>
      <c r="AD75" s="206"/>
      <c r="AE75" s="64" t="s">
        <v>353</v>
      </c>
      <c r="AF75" s="109"/>
      <c r="AG75" s="95"/>
      <c r="AH75" s="129" t="s">
        <v>698</v>
      </c>
      <c r="AI75" s="107" t="s">
        <v>718</v>
      </c>
      <c r="AJ75" s="107"/>
      <c r="AK75" s="107"/>
      <c r="AL75" s="214"/>
      <c r="AM75" s="206"/>
      <c r="AN75" s="206"/>
      <c r="AO75" s="206"/>
      <c r="AP75" s="206"/>
      <c r="AQ75" s="206"/>
      <c r="AR75" s="206"/>
      <c r="AS75" s="206"/>
      <c r="AT75" s="64" t="s">
        <v>427</v>
      </c>
      <c r="AU75" s="109"/>
      <c r="AV75" s="95"/>
      <c r="AW75" s="129" t="s">
        <v>698</v>
      </c>
      <c r="AX75" s="107" t="s">
        <v>718</v>
      </c>
      <c r="AY75" s="107"/>
      <c r="AZ75" s="107"/>
      <c r="BA75" s="214"/>
      <c r="BB75" s="206"/>
      <c r="BC75" s="206"/>
      <c r="BD75" s="206"/>
      <c r="BE75" s="206"/>
      <c r="BF75" s="206"/>
      <c r="BG75" s="206"/>
      <c r="BH75" s="206"/>
      <c r="BI75" s="64" t="s">
        <v>500</v>
      </c>
      <c r="BJ75" s="109"/>
      <c r="BK75" s="95"/>
      <c r="BL75" s="129" t="s">
        <v>698</v>
      </c>
      <c r="BM75" s="107" t="s">
        <v>718</v>
      </c>
      <c r="BN75" s="107"/>
      <c r="BO75" s="107"/>
      <c r="BP75" s="214"/>
      <c r="BQ75" s="206"/>
      <c r="BR75" s="206"/>
      <c r="BS75" s="206"/>
      <c r="BT75" s="206"/>
      <c r="BU75" s="206"/>
      <c r="BV75" s="206"/>
      <c r="BW75" s="206"/>
      <c r="BX75" s="64" t="s">
        <v>764</v>
      </c>
      <c r="BY75" s="109"/>
      <c r="BZ75" s="95"/>
      <c r="CA75" s="129" t="s">
        <v>698</v>
      </c>
      <c r="CB75" s="107" t="s">
        <v>718</v>
      </c>
      <c r="CC75" s="107"/>
      <c r="CD75" s="107"/>
      <c r="CE75" s="214"/>
      <c r="CF75" s="206"/>
      <c r="CG75" s="206"/>
      <c r="CH75" s="206"/>
      <c r="CI75" s="206"/>
      <c r="CJ75" s="206"/>
      <c r="CK75" s="206"/>
      <c r="CL75" s="206"/>
      <c r="CM75" s="64" t="s">
        <v>1369</v>
      </c>
      <c r="CN75" s="109"/>
      <c r="CO75" s="95"/>
      <c r="CP75" s="129" t="s">
        <v>698</v>
      </c>
      <c r="CQ75" s="107" t="s">
        <v>718</v>
      </c>
      <c r="CR75" s="107"/>
      <c r="CS75" s="107"/>
      <c r="CT75" s="214"/>
      <c r="CU75" s="206"/>
      <c r="CV75" s="206"/>
      <c r="CW75" s="206"/>
      <c r="CX75" s="206"/>
      <c r="CY75" s="206"/>
      <c r="CZ75" s="206"/>
      <c r="DA75" s="206">
        <v>346966</v>
      </c>
      <c r="DB75" s="206"/>
      <c r="DC75" s="181">
        <f t="shared" si="106"/>
        <v>346966</v>
      </c>
    </row>
    <row r="76" spans="1:107" s="134" customFormat="1" ht="15" customHeight="1" thickBot="1">
      <c r="A76" s="64" t="s">
        <v>179</v>
      </c>
      <c r="B76" s="195"/>
      <c r="C76" s="196" t="s">
        <v>588</v>
      </c>
      <c r="D76" s="197" t="s">
        <v>593</v>
      </c>
      <c r="E76" s="198"/>
      <c r="F76" s="198"/>
      <c r="G76" s="198"/>
      <c r="H76" s="198"/>
      <c r="I76" s="199"/>
      <c r="J76" s="199"/>
      <c r="K76" s="199"/>
      <c r="L76" s="199"/>
      <c r="M76" s="199"/>
      <c r="N76" s="199"/>
      <c r="O76" s="199"/>
      <c r="P76" s="64" t="s">
        <v>279</v>
      </c>
      <c r="Q76" s="195"/>
      <c r="R76" s="196" t="s">
        <v>588</v>
      </c>
      <c r="S76" s="197" t="s">
        <v>593</v>
      </c>
      <c r="T76" s="198"/>
      <c r="U76" s="198"/>
      <c r="V76" s="198"/>
      <c r="W76" s="222"/>
      <c r="X76" s="211"/>
      <c r="Y76" s="211">
        <f>1229853+Javaslat!N186</f>
        <v>1254955</v>
      </c>
      <c r="Z76" s="211"/>
      <c r="AA76" s="211"/>
      <c r="AB76" s="211"/>
      <c r="AC76" s="211"/>
      <c r="AD76" s="211"/>
      <c r="AE76" s="64" t="s">
        <v>354</v>
      </c>
      <c r="AF76" s="195"/>
      <c r="AG76" s="196" t="s">
        <v>588</v>
      </c>
      <c r="AH76" s="197" t="s">
        <v>593</v>
      </c>
      <c r="AI76" s="198"/>
      <c r="AJ76" s="198"/>
      <c r="AK76" s="198"/>
      <c r="AL76" s="222"/>
      <c r="AM76" s="211"/>
      <c r="AN76" s="211"/>
      <c r="AO76" s="211"/>
      <c r="AP76" s="211"/>
      <c r="AQ76" s="211"/>
      <c r="AR76" s="211"/>
      <c r="AS76" s="211"/>
      <c r="AT76" s="64" t="s">
        <v>428</v>
      </c>
      <c r="AU76" s="195"/>
      <c r="AV76" s="196" t="s">
        <v>588</v>
      </c>
      <c r="AW76" s="197" t="s">
        <v>593</v>
      </c>
      <c r="AX76" s="198"/>
      <c r="AY76" s="198"/>
      <c r="AZ76" s="198"/>
      <c r="BA76" s="222"/>
      <c r="BB76" s="211"/>
      <c r="BC76" s="211"/>
      <c r="BD76" s="211"/>
      <c r="BE76" s="211"/>
      <c r="BF76" s="211"/>
      <c r="BG76" s="211"/>
      <c r="BH76" s="211"/>
      <c r="BI76" s="64" t="s">
        <v>501</v>
      </c>
      <c r="BJ76" s="195"/>
      <c r="BK76" s="196" t="s">
        <v>588</v>
      </c>
      <c r="BL76" s="197" t="s">
        <v>593</v>
      </c>
      <c r="BM76" s="198"/>
      <c r="BN76" s="198"/>
      <c r="BO76" s="198"/>
      <c r="BP76" s="222"/>
      <c r="BQ76" s="211"/>
      <c r="BR76" s="211"/>
      <c r="BS76" s="211"/>
      <c r="BT76" s="211"/>
      <c r="BU76" s="211"/>
      <c r="BV76" s="211"/>
      <c r="BW76" s="211"/>
      <c r="BX76" s="64" t="s">
        <v>765</v>
      </c>
      <c r="BY76" s="195"/>
      <c r="BZ76" s="196" t="s">
        <v>588</v>
      </c>
      <c r="CA76" s="197" t="s">
        <v>593</v>
      </c>
      <c r="CB76" s="198"/>
      <c r="CC76" s="198"/>
      <c r="CD76" s="198"/>
      <c r="CE76" s="222"/>
      <c r="CF76" s="211"/>
      <c r="CG76" s="211"/>
      <c r="CH76" s="211"/>
      <c r="CI76" s="211"/>
      <c r="CJ76" s="211"/>
      <c r="CK76" s="211"/>
      <c r="CL76" s="211"/>
      <c r="CM76" s="64" t="s">
        <v>1370</v>
      </c>
      <c r="CN76" s="195"/>
      <c r="CO76" s="196" t="s">
        <v>588</v>
      </c>
      <c r="CP76" s="197" t="s">
        <v>593</v>
      </c>
      <c r="CQ76" s="198"/>
      <c r="CR76" s="198"/>
      <c r="CS76" s="198"/>
      <c r="CT76" s="222"/>
      <c r="CU76" s="211"/>
      <c r="CV76" s="211"/>
      <c r="CW76" s="211"/>
      <c r="CX76" s="211"/>
      <c r="CY76" s="211"/>
      <c r="CZ76" s="211"/>
      <c r="DA76" s="211"/>
      <c r="DB76" s="211"/>
      <c r="DC76" s="200">
        <f t="shared" si="106"/>
        <v>1254955</v>
      </c>
    </row>
    <row r="77" spans="1:107" s="157" customFormat="1" ht="16.5" thickBot="1">
      <c r="A77" s="64" t="s">
        <v>180</v>
      </c>
      <c r="B77" s="154" t="s">
        <v>584</v>
      </c>
      <c r="C77" s="155" t="s">
        <v>118</v>
      </c>
      <c r="D77" s="170"/>
      <c r="E77" s="170"/>
      <c r="F77" s="155"/>
      <c r="G77" s="155"/>
      <c r="H77" s="176"/>
      <c r="I77" s="156"/>
      <c r="J77" s="156"/>
      <c r="K77" s="156"/>
      <c r="L77" s="156"/>
      <c r="M77" s="156"/>
      <c r="N77" s="156"/>
      <c r="O77" s="156"/>
      <c r="P77" s="64" t="s">
        <v>280</v>
      </c>
      <c r="Q77" s="154" t="s">
        <v>584</v>
      </c>
      <c r="R77" s="155" t="s">
        <v>118</v>
      </c>
      <c r="S77" s="170"/>
      <c r="T77" s="170"/>
      <c r="U77" s="155"/>
      <c r="V77" s="155"/>
      <c r="W77" s="176"/>
      <c r="X77" s="156"/>
      <c r="Y77" s="156"/>
      <c r="Z77" s="156"/>
      <c r="AA77" s="156"/>
      <c r="AB77" s="156"/>
      <c r="AC77" s="156"/>
      <c r="AD77" s="156"/>
      <c r="AE77" s="64" t="s">
        <v>355</v>
      </c>
      <c r="AF77" s="154" t="s">
        <v>584</v>
      </c>
      <c r="AG77" s="155" t="s">
        <v>118</v>
      </c>
      <c r="AH77" s="170"/>
      <c r="AI77" s="170"/>
      <c r="AJ77" s="155"/>
      <c r="AK77" s="155"/>
      <c r="AL77" s="176"/>
      <c r="AM77" s="224"/>
      <c r="AN77" s="156"/>
      <c r="AO77" s="156"/>
      <c r="AP77" s="156"/>
      <c r="AQ77" s="156"/>
      <c r="AR77" s="156"/>
      <c r="AS77" s="156"/>
      <c r="AT77" s="64" t="s">
        <v>429</v>
      </c>
      <c r="AU77" s="154" t="s">
        <v>584</v>
      </c>
      <c r="AV77" s="155" t="s">
        <v>118</v>
      </c>
      <c r="AW77" s="170"/>
      <c r="AX77" s="170"/>
      <c r="AY77" s="155"/>
      <c r="AZ77" s="155"/>
      <c r="BA77" s="176"/>
      <c r="BB77" s="156"/>
      <c r="BC77" s="156"/>
      <c r="BD77" s="156"/>
      <c r="BE77" s="156"/>
      <c r="BF77" s="156"/>
      <c r="BG77" s="156"/>
      <c r="BH77" s="156"/>
      <c r="BI77" s="64" t="s">
        <v>502</v>
      </c>
      <c r="BJ77" s="154" t="s">
        <v>584</v>
      </c>
      <c r="BK77" s="155" t="s">
        <v>118</v>
      </c>
      <c r="BL77" s="170"/>
      <c r="BM77" s="170"/>
      <c r="BN77" s="155"/>
      <c r="BO77" s="155"/>
      <c r="BP77" s="176"/>
      <c r="BQ77" s="156"/>
      <c r="BR77" s="156"/>
      <c r="BS77" s="156"/>
      <c r="BT77" s="156"/>
      <c r="BU77" s="156"/>
      <c r="BV77" s="156"/>
      <c r="BW77" s="156"/>
      <c r="BX77" s="64" t="s">
        <v>766</v>
      </c>
      <c r="BY77" s="154" t="s">
        <v>584</v>
      </c>
      <c r="BZ77" s="155" t="s">
        <v>118</v>
      </c>
      <c r="CA77" s="170"/>
      <c r="CB77" s="170"/>
      <c r="CC77" s="155"/>
      <c r="CD77" s="155"/>
      <c r="CE77" s="176"/>
      <c r="CF77" s="156"/>
      <c r="CG77" s="156"/>
      <c r="CH77" s="156"/>
      <c r="CI77" s="156"/>
      <c r="CJ77" s="156"/>
      <c r="CK77" s="156"/>
      <c r="CL77" s="156"/>
      <c r="CM77" s="64" t="s">
        <v>1371</v>
      </c>
      <c r="CN77" s="154" t="s">
        <v>584</v>
      </c>
      <c r="CO77" s="155" t="s">
        <v>118</v>
      </c>
      <c r="CP77" s="170"/>
      <c r="CQ77" s="170"/>
      <c r="CR77" s="155"/>
      <c r="CS77" s="155"/>
      <c r="CT77" s="176"/>
      <c r="CU77" s="224"/>
      <c r="CV77" s="156"/>
      <c r="CW77" s="156"/>
      <c r="CX77" s="156"/>
      <c r="CY77" s="156"/>
      <c r="CZ77" s="156"/>
      <c r="DA77" s="156"/>
      <c r="DB77" s="156"/>
      <c r="DC77" s="156">
        <f t="shared" si="106"/>
        <v>0</v>
      </c>
    </row>
    <row r="78" spans="1:107" s="150" customFormat="1" ht="30" customHeight="1" thickBot="1">
      <c r="A78" s="64" t="s">
        <v>181</v>
      </c>
      <c r="B78" s="177" t="s">
        <v>595</v>
      </c>
      <c r="C78" s="178"/>
      <c r="D78" s="179"/>
      <c r="E78" s="179"/>
      <c r="F78" s="179"/>
      <c r="G78" s="179"/>
      <c r="H78" s="179"/>
      <c r="I78" s="180">
        <f>SUM(I72,I73,I77)</f>
        <v>151972</v>
      </c>
      <c r="J78" s="180">
        <f aca="true" t="shared" si="149" ref="J78:O78">SUM(J72,J73,J77)</f>
        <v>29000</v>
      </c>
      <c r="K78" s="180">
        <f t="shared" si="149"/>
        <v>1156748</v>
      </c>
      <c r="L78" s="180">
        <f t="shared" si="149"/>
        <v>410389</v>
      </c>
      <c r="M78" s="180">
        <f t="shared" si="149"/>
        <v>0</v>
      </c>
      <c r="N78" s="180">
        <f t="shared" si="149"/>
        <v>52505</v>
      </c>
      <c r="O78" s="180">
        <f t="shared" si="149"/>
        <v>0</v>
      </c>
      <c r="P78" s="64" t="s">
        <v>281</v>
      </c>
      <c r="Q78" s="177" t="s">
        <v>595</v>
      </c>
      <c r="R78" s="178"/>
      <c r="S78" s="179"/>
      <c r="T78" s="179"/>
      <c r="U78" s="179"/>
      <c r="V78" s="179"/>
      <c r="W78" s="179"/>
      <c r="X78" s="180">
        <f aca="true" t="shared" si="150" ref="X78:AD78">SUM(X72,X73,X77)</f>
        <v>0</v>
      </c>
      <c r="Y78" s="180">
        <f t="shared" si="150"/>
        <v>1344378</v>
      </c>
      <c r="Z78" s="180">
        <f t="shared" si="150"/>
        <v>180</v>
      </c>
      <c r="AA78" s="180">
        <f t="shared" si="150"/>
        <v>37461</v>
      </c>
      <c r="AB78" s="180">
        <f t="shared" si="150"/>
        <v>56349</v>
      </c>
      <c r="AC78" s="180">
        <f t="shared" si="150"/>
        <v>6350</v>
      </c>
      <c r="AD78" s="180">
        <f t="shared" si="150"/>
        <v>31966</v>
      </c>
      <c r="AE78" s="64" t="s">
        <v>356</v>
      </c>
      <c r="AF78" s="177" t="s">
        <v>595</v>
      </c>
      <c r="AG78" s="178"/>
      <c r="AH78" s="179"/>
      <c r="AI78" s="179"/>
      <c r="AJ78" s="179"/>
      <c r="AK78" s="179"/>
      <c r="AL78" s="228"/>
      <c r="AM78" s="225">
        <f aca="true" t="shared" si="151" ref="AM78:AS78">SUM(AM72,AM73,AM77)</f>
        <v>748341</v>
      </c>
      <c r="AN78" s="180">
        <f t="shared" si="151"/>
        <v>33951</v>
      </c>
      <c r="AO78" s="180">
        <f t="shared" si="151"/>
        <v>3914</v>
      </c>
      <c r="AP78" s="180">
        <f t="shared" si="151"/>
        <v>1100</v>
      </c>
      <c r="AQ78" s="180">
        <f t="shared" si="151"/>
        <v>49190</v>
      </c>
      <c r="AR78" s="180">
        <f t="shared" si="151"/>
        <v>46890</v>
      </c>
      <c r="AS78" s="180">
        <f t="shared" si="151"/>
        <v>2000</v>
      </c>
      <c r="AT78" s="64" t="s">
        <v>430</v>
      </c>
      <c r="AU78" s="177" t="s">
        <v>595</v>
      </c>
      <c r="AV78" s="178"/>
      <c r="AW78" s="179"/>
      <c r="AX78" s="179"/>
      <c r="AY78" s="179"/>
      <c r="AZ78" s="179"/>
      <c r="BA78" s="179"/>
      <c r="BB78" s="180">
        <f aca="true" t="shared" si="152" ref="BB78:BH78">SUM(BB72,BB73,BB77)</f>
        <v>6690</v>
      </c>
      <c r="BC78" s="180">
        <f t="shared" si="152"/>
        <v>13278</v>
      </c>
      <c r="BD78" s="180">
        <f t="shared" si="152"/>
        <v>7684</v>
      </c>
      <c r="BE78" s="180">
        <f t="shared" si="152"/>
        <v>73401</v>
      </c>
      <c r="BF78" s="180">
        <f t="shared" si="152"/>
        <v>59600</v>
      </c>
      <c r="BG78" s="180">
        <f t="shared" si="152"/>
        <v>29772</v>
      </c>
      <c r="BH78" s="180">
        <f t="shared" si="152"/>
        <v>3500</v>
      </c>
      <c r="BI78" s="64" t="s">
        <v>503</v>
      </c>
      <c r="BJ78" s="177" t="s">
        <v>595</v>
      </c>
      <c r="BK78" s="178"/>
      <c r="BL78" s="179"/>
      <c r="BM78" s="179"/>
      <c r="BN78" s="179"/>
      <c r="BO78" s="179"/>
      <c r="BP78" s="179"/>
      <c r="BQ78" s="180">
        <f aca="true" t="shared" si="153" ref="BQ78:BW78">SUM(BQ72,BQ73,BQ77)</f>
        <v>2000</v>
      </c>
      <c r="BR78" s="180">
        <f t="shared" si="153"/>
        <v>29831</v>
      </c>
      <c r="BS78" s="180">
        <f t="shared" si="153"/>
        <v>14860</v>
      </c>
      <c r="BT78" s="180">
        <f t="shared" si="153"/>
        <v>35458</v>
      </c>
      <c r="BU78" s="180">
        <f t="shared" si="153"/>
        <v>38836</v>
      </c>
      <c r="BV78" s="180">
        <f t="shared" si="153"/>
        <v>15950</v>
      </c>
      <c r="BW78" s="180">
        <f t="shared" si="153"/>
        <v>56729</v>
      </c>
      <c r="BX78" s="64" t="s">
        <v>767</v>
      </c>
      <c r="BY78" s="177" t="s">
        <v>595</v>
      </c>
      <c r="BZ78" s="178"/>
      <c r="CA78" s="179"/>
      <c r="CB78" s="179"/>
      <c r="CC78" s="179"/>
      <c r="CD78" s="179"/>
      <c r="CE78" s="179"/>
      <c r="CF78" s="180">
        <f aca="true" t="shared" si="154" ref="CF78:CL78">SUM(CF72,CF73,CF77)</f>
        <v>29153</v>
      </c>
      <c r="CG78" s="180">
        <f t="shared" si="154"/>
        <v>21710</v>
      </c>
      <c r="CH78" s="180">
        <f t="shared" si="154"/>
        <v>2250</v>
      </c>
      <c r="CI78" s="180">
        <f t="shared" si="154"/>
        <v>11700</v>
      </c>
      <c r="CJ78" s="180">
        <f t="shared" si="154"/>
        <v>4525</v>
      </c>
      <c r="CK78" s="180">
        <f t="shared" si="154"/>
        <v>2500</v>
      </c>
      <c r="CL78" s="180">
        <f t="shared" si="154"/>
        <v>6680</v>
      </c>
      <c r="CM78" s="64" t="s">
        <v>1372</v>
      </c>
      <c r="CN78" s="177" t="s">
        <v>964</v>
      </c>
      <c r="CO78" s="178"/>
      <c r="CP78" s="179"/>
      <c r="CQ78" s="179"/>
      <c r="CR78" s="179"/>
      <c r="CS78" s="179"/>
      <c r="CT78" s="179"/>
      <c r="CU78" s="180">
        <f aca="true" t="shared" si="155" ref="CU78:DB78">SUM(CU72,CU73,CU77)</f>
        <v>2792</v>
      </c>
      <c r="CV78" s="180">
        <f t="shared" si="155"/>
        <v>8060</v>
      </c>
      <c r="CW78" s="180">
        <f t="shared" si="155"/>
        <v>320</v>
      </c>
      <c r="CX78" s="180">
        <f t="shared" si="155"/>
        <v>1448</v>
      </c>
      <c r="CY78" s="180">
        <f t="shared" si="155"/>
        <v>3000</v>
      </c>
      <c r="CZ78" s="180">
        <f t="shared" si="155"/>
        <v>10924</v>
      </c>
      <c r="DA78" s="180">
        <f>SUM(DA72,DA73,DA77)</f>
        <v>346966</v>
      </c>
      <c r="DB78" s="180">
        <f t="shared" si="155"/>
        <v>391202</v>
      </c>
      <c r="DC78" s="180">
        <f>SUM(I78:O78,X78:AD78,AM78:AS78,BB78:BH78,BQ78:BW78,CF78:CL78,CU78:DB78)</f>
        <v>5393503</v>
      </c>
    </row>
  </sheetData>
  <sheetProtection/>
  <mergeCells count="56">
    <mergeCell ref="B50:H50"/>
    <mergeCell ref="B52:H52"/>
    <mergeCell ref="E4:H4"/>
    <mergeCell ref="B6:H6"/>
    <mergeCell ref="E9:H9"/>
    <mergeCell ref="B41:H41"/>
    <mergeCell ref="C42:H42"/>
    <mergeCell ref="B5:O5"/>
    <mergeCell ref="AF50:AL50"/>
    <mergeCell ref="AF52:AL52"/>
    <mergeCell ref="Q52:W52"/>
    <mergeCell ref="T4:W4"/>
    <mergeCell ref="Q6:W6"/>
    <mergeCell ref="T9:W9"/>
    <mergeCell ref="Q41:W41"/>
    <mergeCell ref="R42:W42"/>
    <mergeCell ref="Q50:W50"/>
    <mergeCell ref="AI4:AL4"/>
    <mergeCell ref="AF6:AL6"/>
    <mergeCell ref="AI9:AL9"/>
    <mergeCell ref="AF41:AL41"/>
    <mergeCell ref="AG42:AL42"/>
    <mergeCell ref="Q5:AD5"/>
    <mergeCell ref="AF5:AS5"/>
    <mergeCell ref="BJ50:BP50"/>
    <mergeCell ref="BJ52:BP52"/>
    <mergeCell ref="AU52:BA52"/>
    <mergeCell ref="AX4:BA4"/>
    <mergeCell ref="AU6:BA6"/>
    <mergeCell ref="AX9:BA9"/>
    <mergeCell ref="AU41:BA41"/>
    <mergeCell ref="AV42:BA42"/>
    <mergeCell ref="AU50:BA50"/>
    <mergeCell ref="BM4:BP4"/>
    <mergeCell ref="BJ6:BP6"/>
    <mergeCell ref="BM9:BP9"/>
    <mergeCell ref="BJ41:BP41"/>
    <mergeCell ref="BK42:BP42"/>
    <mergeCell ref="AU5:BH5"/>
    <mergeCell ref="BJ5:BW5"/>
    <mergeCell ref="CN52:CT52"/>
    <mergeCell ref="CB4:CE4"/>
    <mergeCell ref="BY6:CE6"/>
    <mergeCell ref="CB9:CE9"/>
    <mergeCell ref="BY41:CE41"/>
    <mergeCell ref="BZ42:CE42"/>
    <mergeCell ref="BY50:CE50"/>
    <mergeCell ref="BY52:CE52"/>
    <mergeCell ref="BY5:CL5"/>
    <mergeCell ref="CN5:DB5"/>
    <mergeCell ref="CQ4:CT4"/>
    <mergeCell ref="CN6:CT6"/>
    <mergeCell ref="CQ9:CT9"/>
    <mergeCell ref="CN41:CT41"/>
    <mergeCell ref="CO42:CT42"/>
    <mergeCell ref="CN50:CT50"/>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6" manualBreakCount="6">
    <brk id="15" max="100" man="1"/>
    <brk id="30" max="100" man="1"/>
    <brk id="45" max="100" man="1"/>
    <brk id="60" max="100" man="1"/>
    <brk id="75" max="100" man="1"/>
    <brk id="90" max="76" man="1"/>
  </colBreaks>
</worksheet>
</file>

<file path=xl/worksheets/sheet8.xml><?xml version="1.0" encoding="utf-8"?>
<worksheet xmlns="http://schemas.openxmlformats.org/spreadsheetml/2006/main" xmlns:r="http://schemas.openxmlformats.org/officeDocument/2006/relationships">
  <dimension ref="A1:AH78"/>
  <sheetViews>
    <sheetView view="pageBreakPreview" zoomScaleSheetLayoutView="100" zoomScalePageLayoutView="0" workbookViewId="0" topLeftCell="S1">
      <selection activeCell="AF11" sqref="AF11"/>
    </sheetView>
  </sheetViews>
  <sheetFormatPr defaultColWidth="9.140625" defaultRowHeight="15"/>
  <cols>
    <col min="1" max="1" width="4.421875" style="67" customWidth="1"/>
    <col min="2" max="2" width="4.140625" style="61" customWidth="1"/>
    <col min="3" max="3" width="5.7109375" style="61" customWidth="1"/>
    <col min="4" max="5" width="8.7109375" style="61" customWidth="1"/>
    <col min="6" max="7" width="10.7109375" style="61" customWidth="1"/>
    <col min="8" max="8" width="78.7109375" style="61" customWidth="1"/>
    <col min="9" max="16" width="15.7109375" style="61" customWidth="1"/>
    <col min="17" max="17" width="4.421875" style="67" customWidth="1"/>
    <col min="18" max="18" width="4.140625" style="61" customWidth="1"/>
    <col min="19" max="19" width="5.7109375" style="61" customWidth="1"/>
    <col min="20" max="21" width="8.7109375" style="61" customWidth="1"/>
    <col min="22" max="23" width="10.7109375" style="61" customWidth="1"/>
    <col min="24" max="24" width="78.7109375" style="61" customWidth="1"/>
    <col min="25" max="29" width="15.7109375" style="61" customWidth="1"/>
    <col min="30" max="30" width="20.7109375" style="61" customWidth="1"/>
    <col min="31" max="16384" width="9.140625" style="61" customWidth="1"/>
  </cols>
  <sheetData>
    <row r="1" spans="16:30" ht="15" customHeight="1">
      <c r="P1" s="60" t="s">
        <v>1400</v>
      </c>
      <c r="AD1" s="60" t="s">
        <v>1400</v>
      </c>
    </row>
    <row r="2" ht="15" customHeight="1"/>
    <row r="3" spans="16:30" ht="15" customHeight="1" thickBot="1">
      <c r="P3" s="60" t="s">
        <v>8</v>
      </c>
      <c r="AD3" s="60" t="s">
        <v>8</v>
      </c>
    </row>
    <row r="4" spans="1:30" s="65" customFormat="1" ht="15" customHeight="1" thickBot="1">
      <c r="A4" s="64"/>
      <c r="B4" s="66" t="s">
        <v>9</v>
      </c>
      <c r="C4" s="66" t="s">
        <v>10</v>
      </c>
      <c r="D4" s="66" t="s">
        <v>11</v>
      </c>
      <c r="E4" s="338" t="s">
        <v>12</v>
      </c>
      <c r="F4" s="339"/>
      <c r="G4" s="339"/>
      <c r="H4" s="340"/>
      <c r="I4" s="66" t="s">
        <v>13</v>
      </c>
      <c r="J4" s="66" t="s">
        <v>124</v>
      </c>
      <c r="K4" s="66" t="s">
        <v>125</v>
      </c>
      <c r="L4" s="66" t="s">
        <v>126</v>
      </c>
      <c r="M4" s="66" t="s">
        <v>127</v>
      </c>
      <c r="N4" s="66" t="s">
        <v>128</v>
      </c>
      <c r="O4" s="66" t="s">
        <v>129</v>
      </c>
      <c r="P4" s="66" t="s">
        <v>132</v>
      </c>
      <c r="Q4" s="64"/>
      <c r="R4" s="66" t="s">
        <v>133</v>
      </c>
      <c r="S4" s="66" t="s">
        <v>134</v>
      </c>
      <c r="T4" s="66" t="s">
        <v>135</v>
      </c>
      <c r="U4" s="338" t="s">
        <v>136</v>
      </c>
      <c r="V4" s="339"/>
      <c r="W4" s="339"/>
      <c r="X4" s="340"/>
      <c r="Y4" s="66" t="s">
        <v>137</v>
      </c>
      <c r="Z4" s="66" t="s">
        <v>138</v>
      </c>
      <c r="AA4" s="66" t="s">
        <v>139</v>
      </c>
      <c r="AB4" s="66" t="s">
        <v>140</v>
      </c>
      <c r="AC4" s="66" t="s">
        <v>141</v>
      </c>
      <c r="AD4" s="231" t="s">
        <v>142</v>
      </c>
    </row>
    <row r="5" spans="1:34" ht="42" customHeight="1" thickBot="1">
      <c r="A5" s="64" t="s">
        <v>20</v>
      </c>
      <c r="B5" s="341" t="s">
        <v>647</v>
      </c>
      <c r="C5" s="342"/>
      <c r="D5" s="342"/>
      <c r="E5" s="342"/>
      <c r="F5" s="342"/>
      <c r="G5" s="342"/>
      <c r="H5" s="342"/>
      <c r="I5" s="342"/>
      <c r="J5" s="342"/>
      <c r="K5" s="342"/>
      <c r="L5" s="342"/>
      <c r="M5" s="342"/>
      <c r="N5" s="342"/>
      <c r="O5" s="342"/>
      <c r="P5" s="342"/>
      <c r="Q5" s="64" t="s">
        <v>182</v>
      </c>
      <c r="R5" s="341" t="s">
        <v>647</v>
      </c>
      <c r="S5" s="342"/>
      <c r="T5" s="342"/>
      <c r="U5" s="342"/>
      <c r="V5" s="342"/>
      <c r="W5" s="342"/>
      <c r="X5" s="342"/>
      <c r="Y5" s="342"/>
      <c r="Z5" s="342"/>
      <c r="AA5" s="342"/>
      <c r="AB5" s="342"/>
      <c r="AC5" s="342"/>
      <c r="AD5" s="342"/>
      <c r="AE5" s="230"/>
      <c r="AF5" s="230"/>
      <c r="AG5" s="230"/>
      <c r="AH5" s="230"/>
    </row>
    <row r="6" spans="1:30" ht="115.5" thickBot="1">
      <c r="A6" s="64" t="s">
        <v>21</v>
      </c>
      <c r="B6" s="353" t="s">
        <v>123</v>
      </c>
      <c r="C6" s="353"/>
      <c r="D6" s="353"/>
      <c r="E6" s="353"/>
      <c r="F6" s="353"/>
      <c r="G6" s="353"/>
      <c r="H6" s="353"/>
      <c r="I6" s="57" t="s">
        <v>835</v>
      </c>
      <c r="J6" s="57" t="s">
        <v>650</v>
      </c>
      <c r="K6" s="249" t="s">
        <v>882</v>
      </c>
      <c r="L6" s="249" t="s">
        <v>885</v>
      </c>
      <c r="M6" s="57" t="s">
        <v>606</v>
      </c>
      <c r="N6" s="249" t="s">
        <v>609</v>
      </c>
      <c r="O6" s="249" t="s">
        <v>884</v>
      </c>
      <c r="P6" s="57" t="s">
        <v>611</v>
      </c>
      <c r="Q6" s="64" t="s">
        <v>183</v>
      </c>
      <c r="R6" s="372" t="s">
        <v>123</v>
      </c>
      <c r="S6" s="373"/>
      <c r="T6" s="373"/>
      <c r="U6" s="373"/>
      <c r="V6" s="373"/>
      <c r="W6" s="373"/>
      <c r="X6" s="374"/>
      <c r="Y6" s="57" t="s">
        <v>616</v>
      </c>
      <c r="Z6" s="57" t="s">
        <v>620</v>
      </c>
      <c r="AA6" s="57" t="s">
        <v>846</v>
      </c>
      <c r="AB6" s="57" t="s">
        <v>651</v>
      </c>
      <c r="AC6" s="57" t="s">
        <v>883</v>
      </c>
      <c r="AD6" s="105" t="s">
        <v>868</v>
      </c>
    </row>
    <row r="7" spans="1:30" s="134" customFormat="1" ht="15" customHeight="1" thickBot="1">
      <c r="A7" s="64" t="s">
        <v>22</v>
      </c>
      <c r="B7" s="130" t="s">
        <v>99</v>
      </c>
      <c r="C7" s="131" t="s">
        <v>100</v>
      </c>
      <c r="D7" s="132"/>
      <c r="E7" s="132"/>
      <c r="F7" s="132"/>
      <c r="G7" s="132"/>
      <c r="H7" s="132"/>
      <c r="I7" s="133">
        <f>SUM(I8,I12,I19,I29)</f>
        <v>9150</v>
      </c>
      <c r="J7" s="133">
        <f aca="true" t="shared" si="0" ref="J7:P7">SUM(J8,J12,J19,J29)</f>
        <v>0</v>
      </c>
      <c r="K7" s="133">
        <f t="shared" si="0"/>
        <v>14408</v>
      </c>
      <c r="L7" s="133">
        <f t="shared" si="0"/>
        <v>4579</v>
      </c>
      <c r="M7" s="133">
        <f t="shared" si="0"/>
        <v>549</v>
      </c>
      <c r="N7" s="133">
        <f t="shared" si="0"/>
        <v>0</v>
      </c>
      <c r="O7" s="133">
        <f>SUM(O8,O12,O19,O29)</f>
        <v>150</v>
      </c>
      <c r="P7" s="133">
        <f t="shared" si="0"/>
        <v>0</v>
      </c>
      <c r="Q7" s="64" t="s">
        <v>184</v>
      </c>
      <c r="R7" s="130" t="s">
        <v>99</v>
      </c>
      <c r="S7" s="131" t="s">
        <v>100</v>
      </c>
      <c r="T7" s="132"/>
      <c r="U7" s="132"/>
      <c r="V7" s="132"/>
      <c r="W7" s="132"/>
      <c r="X7" s="212"/>
      <c r="Y7" s="133">
        <f>SUM(Y8,Y12,Y19,Y29)</f>
        <v>0</v>
      </c>
      <c r="Z7" s="204">
        <f>SUM(Z8,Z12,Z19,Z29)</f>
        <v>0</v>
      </c>
      <c r="AA7" s="204">
        <f>SUM(AA8,AA12,AA19,AA29)</f>
        <v>0</v>
      </c>
      <c r="AB7" s="204">
        <f>SUM(AB8,AB12,AB19,AB29)</f>
        <v>0</v>
      </c>
      <c r="AC7" s="204">
        <f>SUM(AC8,AC12,AC19,AC29)</f>
        <v>0</v>
      </c>
      <c r="AD7" s="232">
        <f>SUM(I7:P7,Y7:AC7)</f>
        <v>28836</v>
      </c>
    </row>
    <row r="8" spans="1:30" s="134" customFormat="1" ht="15" customHeight="1" thickBot="1">
      <c r="A8" s="64" t="s">
        <v>23</v>
      </c>
      <c r="B8" s="135"/>
      <c r="C8" s="136" t="s">
        <v>101</v>
      </c>
      <c r="D8" s="140" t="s">
        <v>564</v>
      </c>
      <c r="E8" s="141"/>
      <c r="F8" s="141"/>
      <c r="G8" s="141"/>
      <c r="H8" s="141"/>
      <c r="I8" s="142">
        <f>SUM(I9:I11)</f>
        <v>0</v>
      </c>
      <c r="J8" s="205">
        <f aca="true" t="shared" si="1" ref="J8:P8">SUM(J9:J11)</f>
        <v>0</v>
      </c>
      <c r="K8" s="205">
        <f t="shared" si="1"/>
        <v>14408</v>
      </c>
      <c r="L8" s="205">
        <f t="shared" si="1"/>
        <v>4579</v>
      </c>
      <c r="M8" s="205">
        <f t="shared" si="1"/>
        <v>0</v>
      </c>
      <c r="N8" s="205">
        <f t="shared" si="1"/>
        <v>0</v>
      </c>
      <c r="O8" s="205">
        <f>SUM(O9:O11)</f>
        <v>0</v>
      </c>
      <c r="P8" s="205">
        <f t="shared" si="1"/>
        <v>0</v>
      </c>
      <c r="Q8" s="64" t="s">
        <v>185</v>
      </c>
      <c r="R8" s="135"/>
      <c r="S8" s="136" t="s">
        <v>101</v>
      </c>
      <c r="T8" s="140" t="s">
        <v>564</v>
      </c>
      <c r="U8" s="141"/>
      <c r="V8" s="141"/>
      <c r="W8" s="141"/>
      <c r="X8" s="213"/>
      <c r="Y8" s="205">
        <f>SUM(Y9:Y11)</f>
        <v>0</v>
      </c>
      <c r="Z8" s="205">
        <f>SUM(Z9:Z11)</f>
        <v>0</v>
      </c>
      <c r="AA8" s="205">
        <f>SUM(AA9:AA11)</f>
        <v>0</v>
      </c>
      <c r="AB8" s="205">
        <f>SUM(AB9:AB11)</f>
        <v>0</v>
      </c>
      <c r="AC8" s="205">
        <f>SUM(AC9:AC11)</f>
        <v>0</v>
      </c>
      <c r="AD8" s="233">
        <f aca="true" t="shared" si="2" ref="AD8:AD50">SUM(I8:P8,Y8:AC8)</f>
        <v>18987</v>
      </c>
    </row>
    <row r="9" spans="1:30" s="110" customFormat="1" ht="15" customHeight="1" thickBot="1">
      <c r="A9" s="64" t="s">
        <v>24</v>
      </c>
      <c r="B9" s="109"/>
      <c r="C9" s="112"/>
      <c r="D9" s="95" t="s">
        <v>653</v>
      </c>
      <c r="E9" s="364" t="s">
        <v>652</v>
      </c>
      <c r="F9" s="364"/>
      <c r="G9" s="364"/>
      <c r="H9" s="365"/>
      <c r="I9" s="108"/>
      <c r="J9" s="206"/>
      <c r="K9" s="206"/>
      <c r="L9" s="206"/>
      <c r="M9" s="206"/>
      <c r="N9" s="206"/>
      <c r="O9" s="206"/>
      <c r="P9" s="206"/>
      <c r="Q9" s="64" t="s">
        <v>186</v>
      </c>
      <c r="R9" s="109"/>
      <c r="S9" s="112"/>
      <c r="T9" s="95" t="s">
        <v>653</v>
      </c>
      <c r="U9" s="364" t="s">
        <v>652</v>
      </c>
      <c r="V9" s="364"/>
      <c r="W9" s="364"/>
      <c r="X9" s="365"/>
      <c r="Y9" s="206"/>
      <c r="Z9" s="206"/>
      <c r="AA9" s="206"/>
      <c r="AB9" s="206"/>
      <c r="AC9" s="206"/>
      <c r="AD9" s="206">
        <f t="shared" si="2"/>
        <v>0</v>
      </c>
    </row>
    <row r="10" spans="1:30" s="110" customFormat="1" ht="15" customHeight="1" thickBot="1">
      <c r="A10" s="64" t="s">
        <v>25</v>
      </c>
      <c r="B10" s="109"/>
      <c r="C10" s="112"/>
      <c r="D10" s="113" t="s">
        <v>1365</v>
      </c>
      <c r="E10" s="308" t="s">
        <v>1169</v>
      </c>
      <c r="F10" s="307"/>
      <c r="G10" s="307"/>
      <c r="H10" s="307"/>
      <c r="I10" s="108"/>
      <c r="J10" s="206"/>
      <c r="K10" s="206"/>
      <c r="L10" s="206"/>
      <c r="M10" s="206"/>
      <c r="N10" s="206"/>
      <c r="O10" s="206"/>
      <c r="P10" s="206"/>
      <c r="Q10" s="64" t="s">
        <v>187</v>
      </c>
      <c r="R10" s="109"/>
      <c r="S10" s="112"/>
      <c r="T10" s="113" t="s">
        <v>1365</v>
      </c>
      <c r="U10" s="308" t="s">
        <v>1169</v>
      </c>
      <c r="V10" s="307"/>
      <c r="W10" s="307"/>
      <c r="X10" s="309"/>
      <c r="Y10" s="206"/>
      <c r="Z10" s="206"/>
      <c r="AA10" s="206"/>
      <c r="AB10" s="206"/>
      <c r="AC10" s="206"/>
      <c r="AD10" s="206"/>
    </row>
    <row r="11" spans="1:30" s="110" customFormat="1" ht="15" customHeight="1" thickBot="1">
      <c r="A11" s="64" t="s">
        <v>26</v>
      </c>
      <c r="B11" s="109"/>
      <c r="C11" s="112"/>
      <c r="D11" s="95" t="s">
        <v>654</v>
      </c>
      <c r="E11" s="107" t="s">
        <v>655</v>
      </c>
      <c r="F11" s="114"/>
      <c r="G11" s="114"/>
      <c r="H11" s="107"/>
      <c r="I11" s="108"/>
      <c r="J11" s="206"/>
      <c r="K11" s="206">
        <f>15770+Javaslat!L402</f>
        <v>14408</v>
      </c>
      <c r="L11" s="206">
        <f>2289+Javaslat!L409</f>
        <v>4579</v>
      </c>
      <c r="M11" s="206"/>
      <c r="N11" s="206"/>
      <c r="O11" s="206"/>
      <c r="P11" s="206"/>
      <c r="Q11" s="64" t="s">
        <v>188</v>
      </c>
      <c r="R11" s="109"/>
      <c r="S11" s="112"/>
      <c r="T11" s="95" t="s">
        <v>654</v>
      </c>
      <c r="U11" s="107" t="s">
        <v>655</v>
      </c>
      <c r="V11" s="114"/>
      <c r="W11" s="114"/>
      <c r="X11" s="214"/>
      <c r="Y11" s="206"/>
      <c r="Z11" s="206"/>
      <c r="AA11" s="206"/>
      <c r="AB11" s="206"/>
      <c r="AC11" s="206"/>
      <c r="AD11" s="206">
        <f t="shared" si="2"/>
        <v>18987</v>
      </c>
    </row>
    <row r="12" spans="1:30" s="134" customFormat="1" ht="15" customHeight="1" thickBot="1">
      <c r="A12" s="64" t="s">
        <v>27</v>
      </c>
      <c r="B12" s="135"/>
      <c r="C12" s="136" t="s">
        <v>103</v>
      </c>
      <c r="D12" s="137" t="s">
        <v>102</v>
      </c>
      <c r="E12" s="138"/>
      <c r="F12" s="138"/>
      <c r="G12" s="138"/>
      <c r="H12" s="138"/>
      <c r="I12" s="139">
        <f>SUM(I13:I18)</f>
        <v>0</v>
      </c>
      <c r="J12" s="139">
        <f aca="true" t="shared" si="3" ref="J12:P12">SUM(J13:J18)</f>
        <v>0</v>
      </c>
      <c r="K12" s="139">
        <f t="shared" si="3"/>
        <v>0</v>
      </c>
      <c r="L12" s="139"/>
      <c r="M12" s="139">
        <f t="shared" si="3"/>
        <v>0</v>
      </c>
      <c r="N12" s="139">
        <f t="shared" si="3"/>
        <v>0</v>
      </c>
      <c r="O12" s="139">
        <f>SUM(O13:O18)</f>
        <v>150</v>
      </c>
      <c r="P12" s="139">
        <f t="shared" si="3"/>
        <v>0</v>
      </c>
      <c r="Q12" s="64" t="s">
        <v>189</v>
      </c>
      <c r="R12" s="135"/>
      <c r="S12" s="136" t="s">
        <v>103</v>
      </c>
      <c r="T12" s="137" t="s">
        <v>102</v>
      </c>
      <c r="U12" s="138"/>
      <c r="V12" s="138"/>
      <c r="W12" s="138"/>
      <c r="X12" s="215"/>
      <c r="Y12" s="139">
        <f>SUM(Y13:Y18)</f>
        <v>0</v>
      </c>
      <c r="Z12" s="207">
        <f>SUM(Z13:Z18)</f>
        <v>0</v>
      </c>
      <c r="AA12" s="207">
        <f>SUM(AA13:AA18)</f>
        <v>0</v>
      </c>
      <c r="AB12" s="207">
        <f>SUM(AB13:AB18)</f>
        <v>0</v>
      </c>
      <c r="AC12" s="207">
        <f>SUM(AC13:AC18)</f>
        <v>0</v>
      </c>
      <c r="AD12" s="234">
        <f t="shared" si="2"/>
        <v>150</v>
      </c>
    </row>
    <row r="13" spans="1:30" s="56" customFormat="1" ht="15" customHeight="1" thickBot="1">
      <c r="A13" s="64" t="s">
        <v>28</v>
      </c>
      <c r="B13" s="53"/>
      <c r="C13" s="54"/>
      <c r="D13" s="106" t="s">
        <v>660</v>
      </c>
      <c r="E13" s="107" t="s">
        <v>661</v>
      </c>
      <c r="F13" s="55"/>
      <c r="G13" s="55"/>
      <c r="H13" s="55"/>
      <c r="I13" s="108"/>
      <c r="J13" s="206"/>
      <c r="K13" s="206"/>
      <c r="L13" s="206"/>
      <c r="M13" s="206"/>
      <c r="N13" s="206"/>
      <c r="O13" s="206"/>
      <c r="P13" s="206"/>
      <c r="Q13" s="64" t="s">
        <v>190</v>
      </c>
      <c r="R13" s="53"/>
      <c r="S13" s="54"/>
      <c r="T13" s="106" t="s">
        <v>660</v>
      </c>
      <c r="U13" s="107" t="s">
        <v>661</v>
      </c>
      <c r="V13" s="55"/>
      <c r="W13" s="55"/>
      <c r="X13" s="216"/>
      <c r="Y13" s="206"/>
      <c r="Z13" s="206"/>
      <c r="AA13" s="206"/>
      <c r="AB13" s="206"/>
      <c r="AC13" s="206"/>
      <c r="AD13" s="206">
        <f t="shared" si="2"/>
        <v>0</v>
      </c>
    </row>
    <row r="14" spans="1:30" s="56" customFormat="1" ht="15" customHeight="1" thickBot="1">
      <c r="A14" s="64" t="s">
        <v>29</v>
      </c>
      <c r="B14" s="53"/>
      <c r="C14" s="54"/>
      <c r="D14" s="95" t="s">
        <v>662</v>
      </c>
      <c r="E14" s="107" t="s">
        <v>663</v>
      </c>
      <c r="F14" s="55"/>
      <c r="G14" s="55"/>
      <c r="H14" s="55"/>
      <c r="I14" s="108"/>
      <c r="J14" s="206"/>
      <c r="K14" s="206"/>
      <c r="L14" s="206"/>
      <c r="M14" s="206"/>
      <c r="N14" s="206"/>
      <c r="O14" s="206"/>
      <c r="P14" s="206"/>
      <c r="Q14" s="64" t="s">
        <v>191</v>
      </c>
      <c r="R14" s="53"/>
      <c r="S14" s="54"/>
      <c r="T14" s="95" t="s">
        <v>662</v>
      </c>
      <c r="U14" s="107" t="s">
        <v>663</v>
      </c>
      <c r="V14" s="55"/>
      <c r="W14" s="55"/>
      <c r="X14" s="216"/>
      <c r="Y14" s="206"/>
      <c r="Z14" s="206"/>
      <c r="AA14" s="206"/>
      <c r="AB14" s="206"/>
      <c r="AC14" s="206"/>
      <c r="AD14" s="206">
        <f t="shared" si="2"/>
        <v>0</v>
      </c>
    </row>
    <row r="15" spans="1:30" s="56" customFormat="1" ht="15" customHeight="1" thickBot="1">
      <c r="A15" s="64" t="s">
        <v>30</v>
      </c>
      <c r="B15" s="53"/>
      <c r="C15" s="54"/>
      <c r="D15" s="95" t="s">
        <v>664</v>
      </c>
      <c r="E15" s="107" t="s">
        <v>665</v>
      </c>
      <c r="F15" s="55"/>
      <c r="G15" s="55"/>
      <c r="H15" s="55"/>
      <c r="I15" s="108"/>
      <c r="J15" s="206"/>
      <c r="K15" s="206"/>
      <c r="L15" s="206"/>
      <c r="M15" s="206"/>
      <c r="N15" s="206"/>
      <c r="O15" s="206"/>
      <c r="P15" s="206"/>
      <c r="Q15" s="64" t="s">
        <v>192</v>
      </c>
      <c r="R15" s="53"/>
      <c r="S15" s="54"/>
      <c r="T15" s="95" t="s">
        <v>664</v>
      </c>
      <c r="U15" s="107" t="s">
        <v>665</v>
      </c>
      <c r="V15" s="55"/>
      <c r="W15" s="55"/>
      <c r="X15" s="216"/>
      <c r="Y15" s="206"/>
      <c r="Z15" s="206"/>
      <c r="AA15" s="206"/>
      <c r="AB15" s="206"/>
      <c r="AC15" s="206"/>
      <c r="AD15" s="206">
        <f t="shared" si="2"/>
        <v>0</v>
      </c>
    </row>
    <row r="16" spans="1:30" s="56" customFormat="1" ht="15" customHeight="1" thickBot="1">
      <c r="A16" s="64" t="s">
        <v>31</v>
      </c>
      <c r="B16" s="53"/>
      <c r="C16" s="54"/>
      <c r="D16" s="95" t="s">
        <v>666</v>
      </c>
      <c r="E16" s="107" t="s">
        <v>667</v>
      </c>
      <c r="F16" s="55"/>
      <c r="G16" s="55"/>
      <c r="H16" s="55"/>
      <c r="I16" s="108"/>
      <c r="J16" s="206"/>
      <c r="K16" s="206"/>
      <c r="L16" s="206"/>
      <c r="M16" s="206"/>
      <c r="N16" s="206"/>
      <c r="O16" s="206"/>
      <c r="P16" s="206"/>
      <c r="Q16" s="64" t="s">
        <v>193</v>
      </c>
      <c r="R16" s="53"/>
      <c r="S16" s="54"/>
      <c r="T16" s="95" t="s">
        <v>666</v>
      </c>
      <c r="U16" s="107" t="s">
        <v>667</v>
      </c>
      <c r="V16" s="55"/>
      <c r="W16" s="55"/>
      <c r="X16" s="216"/>
      <c r="Y16" s="206"/>
      <c r="Z16" s="206"/>
      <c r="AA16" s="206"/>
      <c r="AB16" s="206"/>
      <c r="AC16" s="206"/>
      <c r="AD16" s="206">
        <f t="shared" si="2"/>
        <v>0</v>
      </c>
    </row>
    <row r="17" spans="1:30" s="56" customFormat="1" ht="15" customHeight="1" thickBot="1">
      <c r="A17" s="64" t="s">
        <v>32</v>
      </c>
      <c r="B17" s="53"/>
      <c r="C17" s="54"/>
      <c r="D17" s="95" t="s">
        <v>668</v>
      </c>
      <c r="E17" s="107" t="s">
        <v>669</v>
      </c>
      <c r="F17" s="55"/>
      <c r="G17" s="55"/>
      <c r="H17" s="55"/>
      <c r="I17" s="108"/>
      <c r="J17" s="206"/>
      <c r="K17" s="206"/>
      <c r="L17" s="206"/>
      <c r="M17" s="206"/>
      <c r="N17" s="206"/>
      <c r="O17" s="206"/>
      <c r="P17" s="206"/>
      <c r="Q17" s="64" t="s">
        <v>194</v>
      </c>
      <c r="R17" s="53"/>
      <c r="S17" s="54"/>
      <c r="T17" s="95" t="s">
        <v>668</v>
      </c>
      <c r="U17" s="107" t="s">
        <v>669</v>
      </c>
      <c r="V17" s="55"/>
      <c r="W17" s="55"/>
      <c r="X17" s="216"/>
      <c r="Y17" s="206"/>
      <c r="Z17" s="206"/>
      <c r="AA17" s="206"/>
      <c r="AB17" s="206"/>
      <c r="AC17" s="206"/>
      <c r="AD17" s="206">
        <f t="shared" si="2"/>
        <v>0</v>
      </c>
    </row>
    <row r="18" spans="1:30" s="56" customFormat="1" ht="15" customHeight="1" thickBot="1">
      <c r="A18" s="64" t="s">
        <v>33</v>
      </c>
      <c r="B18" s="53"/>
      <c r="C18" s="54"/>
      <c r="D18" s="111" t="s">
        <v>670</v>
      </c>
      <c r="E18" s="107" t="s">
        <v>563</v>
      </c>
      <c r="F18" s="55"/>
      <c r="G18" s="55"/>
      <c r="H18" s="55"/>
      <c r="I18" s="108"/>
      <c r="J18" s="206"/>
      <c r="K18" s="206"/>
      <c r="L18" s="206"/>
      <c r="M18" s="206"/>
      <c r="N18" s="206"/>
      <c r="O18" s="206">
        <v>150</v>
      </c>
      <c r="P18" s="206"/>
      <c r="Q18" s="64" t="s">
        <v>195</v>
      </c>
      <c r="R18" s="53"/>
      <c r="S18" s="54"/>
      <c r="T18" s="111" t="s">
        <v>670</v>
      </c>
      <c r="U18" s="107" t="s">
        <v>563</v>
      </c>
      <c r="V18" s="55"/>
      <c r="W18" s="55"/>
      <c r="X18" s="216"/>
      <c r="Y18" s="206"/>
      <c r="Z18" s="206"/>
      <c r="AA18" s="206"/>
      <c r="AB18" s="206"/>
      <c r="AC18" s="206"/>
      <c r="AD18" s="206">
        <f t="shared" si="2"/>
        <v>150</v>
      </c>
    </row>
    <row r="19" spans="1:30" s="134" customFormat="1" ht="15" customHeight="1" thickBot="1">
      <c r="A19" s="64" t="s">
        <v>34</v>
      </c>
      <c r="B19" s="135"/>
      <c r="C19" s="136" t="s">
        <v>104</v>
      </c>
      <c r="D19" s="137" t="s">
        <v>100</v>
      </c>
      <c r="E19" s="138"/>
      <c r="F19" s="138"/>
      <c r="G19" s="138"/>
      <c r="H19" s="138"/>
      <c r="I19" s="139">
        <f>SUM(I20:I28)</f>
        <v>9150</v>
      </c>
      <c r="J19" s="139">
        <f aca="true" t="shared" si="4" ref="J19:P19">SUM(J20:J28)</f>
        <v>0</v>
      </c>
      <c r="K19" s="139">
        <f t="shared" si="4"/>
        <v>0</v>
      </c>
      <c r="L19" s="139"/>
      <c r="M19" s="139">
        <f t="shared" si="4"/>
        <v>549</v>
      </c>
      <c r="N19" s="139">
        <f t="shared" si="4"/>
        <v>0</v>
      </c>
      <c r="O19" s="139">
        <f>SUM(O20:O28)</f>
        <v>0</v>
      </c>
      <c r="P19" s="139">
        <f t="shared" si="4"/>
        <v>0</v>
      </c>
      <c r="Q19" s="64" t="s">
        <v>196</v>
      </c>
      <c r="R19" s="135"/>
      <c r="S19" s="136" t="s">
        <v>104</v>
      </c>
      <c r="T19" s="137" t="s">
        <v>100</v>
      </c>
      <c r="U19" s="138"/>
      <c r="V19" s="138"/>
      <c r="W19" s="138"/>
      <c r="X19" s="215"/>
      <c r="Y19" s="139">
        <f>SUM(Y20:Y28)</f>
        <v>0</v>
      </c>
      <c r="Z19" s="207">
        <f>SUM(Z20:Z28)</f>
        <v>0</v>
      </c>
      <c r="AA19" s="207">
        <f>SUM(AA20:AA28)</f>
        <v>0</v>
      </c>
      <c r="AB19" s="207">
        <f>SUM(AB20:AB28)</f>
        <v>0</v>
      </c>
      <c r="AC19" s="207">
        <f>SUM(AC20:AC28)</f>
        <v>0</v>
      </c>
      <c r="AD19" s="234">
        <f t="shared" si="2"/>
        <v>9699</v>
      </c>
    </row>
    <row r="20" spans="1:30" s="110" customFormat="1" ht="15" customHeight="1" thickBot="1">
      <c r="A20" s="64" t="s">
        <v>35</v>
      </c>
      <c r="B20" s="109"/>
      <c r="C20" s="112"/>
      <c r="D20" s="113" t="s">
        <v>671</v>
      </c>
      <c r="E20" s="107" t="s">
        <v>680</v>
      </c>
      <c r="F20" s="107"/>
      <c r="G20" s="107"/>
      <c r="H20" s="97"/>
      <c r="I20" s="108"/>
      <c r="J20" s="206"/>
      <c r="K20" s="206"/>
      <c r="L20" s="206"/>
      <c r="M20" s="206"/>
      <c r="N20" s="206"/>
      <c r="O20" s="206"/>
      <c r="P20" s="206"/>
      <c r="Q20" s="64" t="s">
        <v>197</v>
      </c>
      <c r="R20" s="109"/>
      <c r="S20" s="112"/>
      <c r="T20" s="113" t="s">
        <v>671</v>
      </c>
      <c r="U20" s="107" t="s">
        <v>680</v>
      </c>
      <c r="V20" s="107"/>
      <c r="W20" s="107"/>
      <c r="X20" s="117"/>
      <c r="Y20" s="206"/>
      <c r="Z20" s="206"/>
      <c r="AA20" s="206"/>
      <c r="AB20" s="206"/>
      <c r="AC20" s="206"/>
      <c r="AD20" s="206">
        <f t="shared" si="2"/>
        <v>0</v>
      </c>
    </row>
    <row r="21" spans="1:30" s="110" customFormat="1" ht="15" customHeight="1" thickBot="1">
      <c r="A21" s="64" t="s">
        <v>36</v>
      </c>
      <c r="B21" s="109"/>
      <c r="C21" s="112"/>
      <c r="D21" s="113" t="s">
        <v>672</v>
      </c>
      <c r="E21" s="107" t="s">
        <v>681</v>
      </c>
      <c r="F21" s="107"/>
      <c r="G21" s="107"/>
      <c r="H21" s="97"/>
      <c r="I21" s="108">
        <v>150</v>
      </c>
      <c r="J21" s="206"/>
      <c r="K21" s="206"/>
      <c r="L21" s="206"/>
      <c r="M21" s="206">
        <v>432</v>
      </c>
      <c r="N21" s="206"/>
      <c r="O21" s="206"/>
      <c r="P21" s="206"/>
      <c r="Q21" s="64" t="s">
        <v>198</v>
      </c>
      <c r="R21" s="109"/>
      <c r="S21" s="112"/>
      <c r="T21" s="113" t="s">
        <v>672</v>
      </c>
      <c r="U21" s="107" t="s">
        <v>681</v>
      </c>
      <c r="V21" s="107"/>
      <c r="W21" s="107"/>
      <c r="X21" s="117"/>
      <c r="Y21" s="206"/>
      <c r="Z21" s="206"/>
      <c r="AA21" s="206"/>
      <c r="AB21" s="206"/>
      <c r="AC21" s="206"/>
      <c r="AD21" s="206">
        <f t="shared" si="2"/>
        <v>582</v>
      </c>
    </row>
    <row r="22" spans="1:30" s="110" customFormat="1" ht="15" customHeight="1" thickBot="1">
      <c r="A22" s="64" t="s">
        <v>37</v>
      </c>
      <c r="B22" s="109"/>
      <c r="C22" s="112"/>
      <c r="D22" s="113" t="s">
        <v>673</v>
      </c>
      <c r="E22" s="97" t="s">
        <v>682</v>
      </c>
      <c r="F22" s="97"/>
      <c r="G22" s="97"/>
      <c r="H22" s="97"/>
      <c r="I22" s="108">
        <v>7087</v>
      </c>
      <c r="J22" s="206"/>
      <c r="K22" s="206"/>
      <c r="L22" s="206"/>
      <c r="M22" s="206"/>
      <c r="N22" s="206"/>
      <c r="O22" s="206"/>
      <c r="P22" s="206"/>
      <c r="Q22" s="64" t="s">
        <v>199</v>
      </c>
      <c r="R22" s="109"/>
      <c r="S22" s="112"/>
      <c r="T22" s="113" t="s">
        <v>673</v>
      </c>
      <c r="U22" s="97" t="s">
        <v>682</v>
      </c>
      <c r="V22" s="97"/>
      <c r="W22" s="97"/>
      <c r="X22" s="117"/>
      <c r="Y22" s="206"/>
      <c r="Z22" s="206"/>
      <c r="AA22" s="206"/>
      <c r="AB22" s="206"/>
      <c r="AC22" s="206"/>
      <c r="AD22" s="206">
        <f t="shared" si="2"/>
        <v>7087</v>
      </c>
    </row>
    <row r="23" spans="1:30" s="110" customFormat="1" ht="15" customHeight="1" thickBot="1">
      <c r="A23" s="64" t="s">
        <v>38</v>
      </c>
      <c r="B23" s="109"/>
      <c r="C23" s="112"/>
      <c r="D23" s="113" t="s">
        <v>674</v>
      </c>
      <c r="E23" s="97" t="s">
        <v>683</v>
      </c>
      <c r="F23" s="107"/>
      <c r="G23" s="107"/>
      <c r="H23" s="107"/>
      <c r="I23" s="108"/>
      <c r="J23" s="206"/>
      <c r="K23" s="206"/>
      <c r="L23" s="206"/>
      <c r="M23" s="206"/>
      <c r="N23" s="206"/>
      <c r="O23" s="206"/>
      <c r="P23" s="206"/>
      <c r="Q23" s="64" t="s">
        <v>200</v>
      </c>
      <c r="R23" s="109"/>
      <c r="S23" s="112"/>
      <c r="T23" s="113" t="s">
        <v>674</v>
      </c>
      <c r="U23" s="97" t="s">
        <v>683</v>
      </c>
      <c r="V23" s="107"/>
      <c r="W23" s="107"/>
      <c r="X23" s="214"/>
      <c r="Y23" s="206"/>
      <c r="Z23" s="206"/>
      <c r="AA23" s="206"/>
      <c r="AB23" s="206"/>
      <c r="AC23" s="206"/>
      <c r="AD23" s="206">
        <f t="shared" si="2"/>
        <v>0</v>
      </c>
    </row>
    <row r="24" spans="1:30" s="110" customFormat="1" ht="15" customHeight="1" thickBot="1">
      <c r="A24" s="64" t="s">
        <v>39</v>
      </c>
      <c r="B24" s="109"/>
      <c r="C24" s="112"/>
      <c r="D24" s="113" t="s">
        <v>675</v>
      </c>
      <c r="E24" s="97" t="s">
        <v>684</v>
      </c>
      <c r="F24" s="107"/>
      <c r="G24" s="107"/>
      <c r="H24" s="107"/>
      <c r="I24" s="108"/>
      <c r="J24" s="206"/>
      <c r="K24" s="206"/>
      <c r="L24" s="206"/>
      <c r="M24" s="206"/>
      <c r="N24" s="206"/>
      <c r="O24" s="206"/>
      <c r="P24" s="206"/>
      <c r="Q24" s="64" t="s">
        <v>201</v>
      </c>
      <c r="R24" s="109"/>
      <c r="S24" s="112"/>
      <c r="T24" s="113" t="s">
        <v>675</v>
      </c>
      <c r="U24" s="97" t="s">
        <v>684</v>
      </c>
      <c r="V24" s="107"/>
      <c r="W24" s="107"/>
      <c r="X24" s="214"/>
      <c r="Y24" s="206"/>
      <c r="Z24" s="206"/>
      <c r="AA24" s="206"/>
      <c r="AB24" s="206"/>
      <c r="AC24" s="206"/>
      <c r="AD24" s="206">
        <f t="shared" si="2"/>
        <v>0</v>
      </c>
    </row>
    <row r="25" spans="1:30" s="110" customFormat="1" ht="15" customHeight="1" thickBot="1">
      <c r="A25" s="64" t="s">
        <v>41</v>
      </c>
      <c r="B25" s="109"/>
      <c r="C25" s="112"/>
      <c r="D25" s="113" t="s">
        <v>676</v>
      </c>
      <c r="E25" s="97" t="s">
        <v>685</v>
      </c>
      <c r="F25" s="107"/>
      <c r="G25" s="107"/>
      <c r="H25" s="107"/>
      <c r="I25" s="108">
        <v>1913</v>
      </c>
      <c r="J25" s="206"/>
      <c r="K25" s="206"/>
      <c r="L25" s="206"/>
      <c r="M25" s="206">
        <v>117</v>
      </c>
      <c r="N25" s="206"/>
      <c r="O25" s="206"/>
      <c r="P25" s="206"/>
      <c r="Q25" s="64" t="s">
        <v>202</v>
      </c>
      <c r="R25" s="109"/>
      <c r="S25" s="112"/>
      <c r="T25" s="113" t="s">
        <v>676</v>
      </c>
      <c r="U25" s="97" t="s">
        <v>685</v>
      </c>
      <c r="V25" s="107"/>
      <c r="W25" s="107"/>
      <c r="X25" s="214"/>
      <c r="Y25" s="206"/>
      <c r="Z25" s="206"/>
      <c r="AA25" s="206"/>
      <c r="AB25" s="206"/>
      <c r="AC25" s="206"/>
      <c r="AD25" s="206">
        <f t="shared" si="2"/>
        <v>2030</v>
      </c>
    </row>
    <row r="26" spans="1:30" s="110" customFormat="1" ht="15" customHeight="1" thickBot="1">
      <c r="A26" s="64" t="s">
        <v>42</v>
      </c>
      <c r="B26" s="109"/>
      <c r="C26" s="112"/>
      <c r="D26" s="113" t="s">
        <v>677</v>
      </c>
      <c r="E26" s="97" t="s">
        <v>686</v>
      </c>
      <c r="F26" s="107"/>
      <c r="G26" s="107"/>
      <c r="H26" s="107"/>
      <c r="I26" s="108"/>
      <c r="J26" s="206"/>
      <c r="K26" s="206"/>
      <c r="L26" s="206"/>
      <c r="M26" s="206"/>
      <c r="N26" s="206"/>
      <c r="O26" s="206"/>
      <c r="P26" s="206"/>
      <c r="Q26" s="64" t="s">
        <v>203</v>
      </c>
      <c r="R26" s="109"/>
      <c r="S26" s="112"/>
      <c r="T26" s="113" t="s">
        <v>677</v>
      </c>
      <c r="U26" s="97" t="s">
        <v>686</v>
      </c>
      <c r="V26" s="107"/>
      <c r="W26" s="107"/>
      <c r="X26" s="214"/>
      <c r="Y26" s="206"/>
      <c r="Z26" s="206"/>
      <c r="AA26" s="206"/>
      <c r="AB26" s="206"/>
      <c r="AC26" s="206"/>
      <c r="AD26" s="206">
        <f t="shared" si="2"/>
        <v>0</v>
      </c>
    </row>
    <row r="27" spans="1:30" s="110" customFormat="1" ht="15" customHeight="1" thickBot="1">
      <c r="A27" s="64" t="s">
        <v>44</v>
      </c>
      <c r="B27" s="109"/>
      <c r="C27" s="112"/>
      <c r="D27" s="113" t="s">
        <v>678</v>
      </c>
      <c r="E27" s="97" t="s">
        <v>687</v>
      </c>
      <c r="F27" s="107"/>
      <c r="G27" s="107"/>
      <c r="H27" s="107"/>
      <c r="I27" s="108"/>
      <c r="J27" s="206"/>
      <c r="K27" s="206"/>
      <c r="L27" s="206"/>
      <c r="M27" s="206"/>
      <c r="N27" s="206"/>
      <c r="O27" s="206"/>
      <c r="P27" s="206"/>
      <c r="Q27" s="64" t="s">
        <v>204</v>
      </c>
      <c r="R27" s="109"/>
      <c r="S27" s="112"/>
      <c r="T27" s="113" t="s">
        <v>678</v>
      </c>
      <c r="U27" s="97" t="s">
        <v>687</v>
      </c>
      <c r="V27" s="107"/>
      <c r="W27" s="107"/>
      <c r="X27" s="214"/>
      <c r="Y27" s="206"/>
      <c r="Z27" s="206"/>
      <c r="AA27" s="206"/>
      <c r="AB27" s="206"/>
      <c r="AC27" s="206"/>
      <c r="AD27" s="206">
        <f t="shared" si="2"/>
        <v>0</v>
      </c>
    </row>
    <row r="28" spans="1:30" s="110" customFormat="1" ht="15" customHeight="1" thickBot="1">
      <c r="A28" s="64" t="s">
        <v>45</v>
      </c>
      <c r="B28" s="109"/>
      <c r="C28" s="112"/>
      <c r="D28" s="113" t="s">
        <v>679</v>
      </c>
      <c r="E28" s="97" t="s">
        <v>688</v>
      </c>
      <c r="F28" s="107"/>
      <c r="G28" s="107"/>
      <c r="H28" s="107"/>
      <c r="I28" s="108"/>
      <c r="J28" s="206"/>
      <c r="K28" s="206"/>
      <c r="L28" s="206"/>
      <c r="M28" s="206"/>
      <c r="N28" s="206"/>
      <c r="O28" s="206"/>
      <c r="P28" s="206"/>
      <c r="Q28" s="64" t="s">
        <v>205</v>
      </c>
      <c r="R28" s="109"/>
      <c r="S28" s="112"/>
      <c r="T28" s="113" t="s">
        <v>679</v>
      </c>
      <c r="U28" s="97" t="s">
        <v>688</v>
      </c>
      <c r="V28" s="107"/>
      <c r="W28" s="107"/>
      <c r="X28" s="214"/>
      <c r="Y28" s="206"/>
      <c r="Z28" s="206"/>
      <c r="AA28" s="206"/>
      <c r="AB28" s="206"/>
      <c r="AC28" s="206"/>
      <c r="AD28" s="206">
        <f t="shared" si="2"/>
        <v>0</v>
      </c>
    </row>
    <row r="29" spans="1:30" s="134" customFormat="1" ht="15" customHeight="1" thickBot="1">
      <c r="A29" s="64" t="s">
        <v>46</v>
      </c>
      <c r="B29" s="135"/>
      <c r="C29" s="136" t="s">
        <v>105</v>
      </c>
      <c r="D29" s="140" t="s">
        <v>565</v>
      </c>
      <c r="E29" s="141"/>
      <c r="F29" s="138"/>
      <c r="G29" s="138"/>
      <c r="H29" s="138"/>
      <c r="I29" s="139">
        <f>SUM(I30:I31)</f>
        <v>0</v>
      </c>
      <c r="J29" s="139">
        <f aca="true" t="shared" si="5" ref="J29:P29">SUM(J30:J31)</f>
        <v>0</v>
      </c>
      <c r="K29" s="139">
        <f t="shared" si="5"/>
        <v>0</v>
      </c>
      <c r="L29" s="139"/>
      <c r="M29" s="139">
        <f t="shared" si="5"/>
        <v>0</v>
      </c>
      <c r="N29" s="139">
        <f t="shared" si="5"/>
        <v>0</v>
      </c>
      <c r="O29" s="139">
        <f>SUM(O30:O31)</f>
        <v>0</v>
      </c>
      <c r="P29" s="139">
        <f t="shared" si="5"/>
        <v>0</v>
      </c>
      <c r="Q29" s="64" t="s">
        <v>206</v>
      </c>
      <c r="R29" s="135"/>
      <c r="S29" s="136" t="s">
        <v>105</v>
      </c>
      <c r="T29" s="140" t="s">
        <v>565</v>
      </c>
      <c r="U29" s="141"/>
      <c r="V29" s="138"/>
      <c r="W29" s="138"/>
      <c r="X29" s="215"/>
      <c r="Y29" s="139">
        <f>SUM(Y30:Y31)</f>
        <v>0</v>
      </c>
      <c r="Z29" s="207">
        <f>SUM(Z30:Z31)</f>
        <v>0</v>
      </c>
      <c r="AA29" s="207">
        <f>SUM(AA30:AA31)</f>
        <v>0</v>
      </c>
      <c r="AB29" s="207">
        <f>SUM(AB30:AB31)</f>
        <v>0</v>
      </c>
      <c r="AC29" s="207">
        <f>SUM(AC30:AC31)</f>
        <v>0</v>
      </c>
      <c r="AD29" s="234">
        <f t="shared" si="2"/>
        <v>0</v>
      </c>
    </row>
    <row r="30" spans="1:30" s="96" customFormat="1" ht="15" customHeight="1" thickBot="1">
      <c r="A30" s="64" t="s">
        <v>48</v>
      </c>
      <c r="B30" s="94"/>
      <c r="C30" s="115"/>
      <c r="D30" s="95" t="s">
        <v>693</v>
      </c>
      <c r="E30" s="97" t="s">
        <v>691</v>
      </c>
      <c r="F30" s="116"/>
      <c r="G30" s="98"/>
      <c r="H30" s="98"/>
      <c r="I30" s="108"/>
      <c r="J30" s="206"/>
      <c r="K30" s="206"/>
      <c r="L30" s="206"/>
      <c r="M30" s="206"/>
      <c r="N30" s="206"/>
      <c r="O30" s="206"/>
      <c r="P30" s="206"/>
      <c r="Q30" s="64" t="s">
        <v>207</v>
      </c>
      <c r="R30" s="94"/>
      <c r="S30" s="115"/>
      <c r="T30" s="95" t="s">
        <v>693</v>
      </c>
      <c r="U30" s="97" t="s">
        <v>691</v>
      </c>
      <c r="V30" s="116"/>
      <c r="W30" s="98"/>
      <c r="X30" s="217"/>
      <c r="Y30" s="206"/>
      <c r="Z30" s="206"/>
      <c r="AA30" s="206"/>
      <c r="AB30" s="206"/>
      <c r="AC30" s="206"/>
      <c r="AD30" s="206">
        <f t="shared" si="2"/>
        <v>0</v>
      </c>
    </row>
    <row r="31" spans="1:30" s="96" customFormat="1" ht="15" customHeight="1" thickBot="1">
      <c r="A31" s="64" t="s">
        <v>49</v>
      </c>
      <c r="B31" s="94"/>
      <c r="C31" s="115"/>
      <c r="D31" s="95" t="s">
        <v>694</v>
      </c>
      <c r="E31" s="97" t="s">
        <v>692</v>
      </c>
      <c r="F31" s="116"/>
      <c r="G31" s="98"/>
      <c r="H31" s="98"/>
      <c r="I31" s="108"/>
      <c r="J31" s="206"/>
      <c r="K31" s="206"/>
      <c r="L31" s="206"/>
      <c r="M31" s="206"/>
      <c r="N31" s="206"/>
      <c r="O31" s="206"/>
      <c r="P31" s="206"/>
      <c r="Q31" s="64" t="s">
        <v>208</v>
      </c>
      <c r="R31" s="94"/>
      <c r="S31" s="115"/>
      <c r="T31" s="95" t="s">
        <v>694</v>
      </c>
      <c r="U31" s="97" t="s">
        <v>692</v>
      </c>
      <c r="V31" s="116"/>
      <c r="W31" s="98"/>
      <c r="X31" s="217"/>
      <c r="Y31" s="206"/>
      <c r="Z31" s="206"/>
      <c r="AA31" s="206"/>
      <c r="AB31" s="206"/>
      <c r="AC31" s="206"/>
      <c r="AD31" s="206">
        <f t="shared" si="2"/>
        <v>0</v>
      </c>
    </row>
    <row r="32" spans="1:30" s="134" customFormat="1" ht="15" customHeight="1" thickBot="1">
      <c r="A32" s="64" t="s">
        <v>50</v>
      </c>
      <c r="B32" s="130" t="s">
        <v>107</v>
      </c>
      <c r="C32" s="131" t="s">
        <v>108</v>
      </c>
      <c r="D32" s="131"/>
      <c r="E32" s="131"/>
      <c r="F32" s="131"/>
      <c r="G32" s="131"/>
      <c r="H32" s="131"/>
      <c r="I32" s="133">
        <f>SUM(I33,I36,I39)</f>
        <v>0</v>
      </c>
      <c r="J32" s="133">
        <f aca="true" t="shared" si="6" ref="J32:P32">SUM(J33,J36,J39)</f>
        <v>0</v>
      </c>
      <c r="K32" s="133">
        <f t="shared" si="6"/>
        <v>0</v>
      </c>
      <c r="L32" s="133">
        <f t="shared" si="6"/>
        <v>0</v>
      </c>
      <c r="M32" s="133">
        <f t="shared" si="6"/>
        <v>0</v>
      </c>
      <c r="N32" s="133">
        <f t="shared" si="6"/>
        <v>0</v>
      </c>
      <c r="O32" s="133">
        <f>SUM(O33,O36,O39)</f>
        <v>0</v>
      </c>
      <c r="P32" s="133">
        <f t="shared" si="6"/>
        <v>0</v>
      </c>
      <c r="Q32" s="64" t="s">
        <v>209</v>
      </c>
      <c r="R32" s="130" t="s">
        <v>107</v>
      </c>
      <c r="S32" s="131" t="s">
        <v>108</v>
      </c>
      <c r="T32" s="131"/>
      <c r="U32" s="131"/>
      <c r="V32" s="131"/>
      <c r="W32" s="131"/>
      <c r="X32" s="218"/>
      <c r="Y32" s="133">
        <f>SUM(Y33,Y36,Y39)</f>
        <v>0</v>
      </c>
      <c r="Z32" s="204">
        <f>SUM(Z33,Z36,Z39)</f>
        <v>0</v>
      </c>
      <c r="AA32" s="204">
        <f>SUM(AA33,AA36,AA39)</f>
        <v>0</v>
      </c>
      <c r="AB32" s="204">
        <f>SUM(AB33,AB36,AB39)</f>
        <v>0</v>
      </c>
      <c r="AC32" s="204">
        <f>SUM(AC33,AC36,AC39)</f>
        <v>0</v>
      </c>
      <c r="AD32" s="232">
        <f t="shared" si="2"/>
        <v>0</v>
      </c>
    </row>
    <row r="33" spans="1:30" s="134" customFormat="1" ht="15" customHeight="1" thickBot="1">
      <c r="A33" s="64" t="s">
        <v>51</v>
      </c>
      <c r="B33" s="135"/>
      <c r="C33" s="143" t="s">
        <v>109</v>
      </c>
      <c r="D33" s="145" t="s">
        <v>566</v>
      </c>
      <c r="E33" s="140"/>
      <c r="F33" s="141"/>
      <c r="G33" s="141"/>
      <c r="H33" s="141"/>
      <c r="I33" s="142">
        <f>SUM(I34:I35)</f>
        <v>0</v>
      </c>
      <c r="J33" s="142">
        <f aca="true" t="shared" si="7" ref="J33:P33">SUM(J34:J35)</f>
        <v>0</v>
      </c>
      <c r="K33" s="142">
        <f t="shared" si="7"/>
        <v>0</v>
      </c>
      <c r="L33" s="142"/>
      <c r="M33" s="142">
        <f t="shared" si="7"/>
        <v>0</v>
      </c>
      <c r="N33" s="142">
        <f t="shared" si="7"/>
        <v>0</v>
      </c>
      <c r="O33" s="142">
        <f>SUM(O34:O35)</f>
        <v>0</v>
      </c>
      <c r="P33" s="142">
        <f t="shared" si="7"/>
        <v>0</v>
      </c>
      <c r="Q33" s="64" t="s">
        <v>210</v>
      </c>
      <c r="R33" s="135"/>
      <c r="S33" s="143" t="s">
        <v>109</v>
      </c>
      <c r="T33" s="145" t="s">
        <v>566</v>
      </c>
      <c r="U33" s="140"/>
      <c r="V33" s="141"/>
      <c r="W33" s="141"/>
      <c r="X33" s="213"/>
      <c r="Y33" s="142">
        <f>SUM(Y34:Y35)</f>
        <v>0</v>
      </c>
      <c r="Z33" s="205">
        <f>SUM(Z34:Z35)</f>
        <v>0</v>
      </c>
      <c r="AA33" s="205">
        <f>SUM(AA34:AA35)</f>
        <v>0</v>
      </c>
      <c r="AB33" s="205">
        <f>SUM(AB34:AB35)</f>
        <v>0</v>
      </c>
      <c r="AC33" s="205">
        <f>SUM(AC34:AC35)</f>
        <v>0</v>
      </c>
      <c r="AD33" s="233">
        <f t="shared" si="2"/>
        <v>0</v>
      </c>
    </row>
    <row r="34" spans="1:30" s="110" customFormat="1" ht="15" customHeight="1" thickBot="1">
      <c r="A34" s="64" t="s">
        <v>53</v>
      </c>
      <c r="B34" s="109"/>
      <c r="C34" s="112"/>
      <c r="D34" s="95" t="s">
        <v>656</v>
      </c>
      <c r="E34" s="107" t="s">
        <v>657</v>
      </c>
      <c r="F34" s="107"/>
      <c r="G34" s="107"/>
      <c r="H34" s="107"/>
      <c r="I34" s="108"/>
      <c r="J34" s="206"/>
      <c r="K34" s="206"/>
      <c r="L34" s="206"/>
      <c r="M34" s="206"/>
      <c r="N34" s="206"/>
      <c r="O34" s="206"/>
      <c r="P34" s="206"/>
      <c r="Q34" s="64" t="s">
        <v>211</v>
      </c>
      <c r="R34" s="109"/>
      <c r="S34" s="112"/>
      <c r="T34" s="95" t="s">
        <v>656</v>
      </c>
      <c r="U34" s="107" t="s">
        <v>657</v>
      </c>
      <c r="V34" s="107"/>
      <c r="W34" s="107"/>
      <c r="X34" s="214"/>
      <c r="Y34" s="206"/>
      <c r="Z34" s="206"/>
      <c r="AA34" s="206"/>
      <c r="AB34" s="206"/>
      <c r="AC34" s="206"/>
      <c r="AD34" s="206">
        <f t="shared" si="2"/>
        <v>0</v>
      </c>
    </row>
    <row r="35" spans="1:30" s="110" customFormat="1" ht="15" customHeight="1" thickBot="1">
      <c r="A35" s="64" t="s">
        <v>54</v>
      </c>
      <c r="B35" s="109"/>
      <c r="C35" s="95"/>
      <c r="D35" s="95" t="s">
        <v>658</v>
      </c>
      <c r="E35" s="107" t="s">
        <v>659</v>
      </c>
      <c r="F35" s="114"/>
      <c r="G35" s="114"/>
      <c r="H35" s="107"/>
      <c r="I35" s="108"/>
      <c r="J35" s="206"/>
      <c r="K35" s="206"/>
      <c r="L35" s="206"/>
      <c r="M35" s="206"/>
      <c r="N35" s="206"/>
      <c r="O35" s="206"/>
      <c r="P35" s="206"/>
      <c r="Q35" s="64" t="s">
        <v>212</v>
      </c>
      <c r="R35" s="109"/>
      <c r="S35" s="95"/>
      <c r="T35" s="95" t="s">
        <v>658</v>
      </c>
      <c r="U35" s="107" t="s">
        <v>659</v>
      </c>
      <c r="V35" s="114"/>
      <c r="W35" s="114"/>
      <c r="X35" s="214"/>
      <c r="Y35" s="206"/>
      <c r="Z35" s="206"/>
      <c r="AA35" s="206"/>
      <c r="AB35" s="206"/>
      <c r="AC35" s="206"/>
      <c r="AD35" s="206">
        <f t="shared" si="2"/>
        <v>0</v>
      </c>
    </row>
    <row r="36" spans="1:30" s="134" customFormat="1" ht="15" customHeight="1" thickBot="1">
      <c r="A36" s="64" t="s">
        <v>55</v>
      </c>
      <c r="B36" s="135"/>
      <c r="C36" s="143" t="s">
        <v>110</v>
      </c>
      <c r="D36" s="144" t="s">
        <v>108</v>
      </c>
      <c r="E36" s="137"/>
      <c r="F36" s="138"/>
      <c r="G36" s="138"/>
      <c r="H36" s="138"/>
      <c r="I36" s="139">
        <f>SUM(I37:I38)</f>
        <v>0</v>
      </c>
      <c r="J36" s="139">
        <f aca="true" t="shared" si="8" ref="J36:P36">SUM(J37:J38)</f>
        <v>0</v>
      </c>
      <c r="K36" s="139">
        <f t="shared" si="8"/>
        <v>0</v>
      </c>
      <c r="L36" s="139"/>
      <c r="M36" s="139">
        <f t="shared" si="8"/>
        <v>0</v>
      </c>
      <c r="N36" s="139">
        <f t="shared" si="8"/>
        <v>0</v>
      </c>
      <c r="O36" s="139">
        <f>SUM(O37:O38)</f>
        <v>0</v>
      </c>
      <c r="P36" s="139">
        <f t="shared" si="8"/>
        <v>0</v>
      </c>
      <c r="Q36" s="64" t="s">
        <v>213</v>
      </c>
      <c r="R36" s="135"/>
      <c r="S36" s="143" t="s">
        <v>110</v>
      </c>
      <c r="T36" s="144" t="s">
        <v>108</v>
      </c>
      <c r="U36" s="137"/>
      <c r="V36" s="138"/>
      <c r="W36" s="138"/>
      <c r="X36" s="215"/>
      <c r="Y36" s="139">
        <f>SUM(Y37:Y38)</f>
        <v>0</v>
      </c>
      <c r="Z36" s="207">
        <f>SUM(Z37:Z38)</f>
        <v>0</v>
      </c>
      <c r="AA36" s="207">
        <f>SUM(AA37:AA38)</f>
        <v>0</v>
      </c>
      <c r="AB36" s="207">
        <f>SUM(AB37:AB38)</f>
        <v>0</v>
      </c>
      <c r="AC36" s="207">
        <f>SUM(AC37:AC38)</f>
        <v>0</v>
      </c>
      <c r="AD36" s="234">
        <f t="shared" si="2"/>
        <v>0</v>
      </c>
    </row>
    <row r="37" spans="1:30" s="110" customFormat="1" ht="15" customHeight="1" thickBot="1">
      <c r="A37" s="64" t="s">
        <v>56</v>
      </c>
      <c r="B37" s="109"/>
      <c r="C37" s="112"/>
      <c r="D37" s="95" t="s">
        <v>695</v>
      </c>
      <c r="E37" s="107" t="s">
        <v>689</v>
      </c>
      <c r="F37" s="107"/>
      <c r="G37" s="107"/>
      <c r="H37" s="107"/>
      <c r="I37" s="108"/>
      <c r="J37" s="206"/>
      <c r="K37" s="206"/>
      <c r="L37" s="206"/>
      <c r="M37" s="206"/>
      <c r="N37" s="206"/>
      <c r="O37" s="206"/>
      <c r="P37" s="206"/>
      <c r="Q37" s="64" t="s">
        <v>214</v>
      </c>
      <c r="R37" s="109"/>
      <c r="S37" s="112"/>
      <c r="T37" s="95" t="s">
        <v>695</v>
      </c>
      <c r="U37" s="107" t="s">
        <v>689</v>
      </c>
      <c r="V37" s="107"/>
      <c r="W37" s="107"/>
      <c r="X37" s="214"/>
      <c r="Y37" s="206"/>
      <c r="Z37" s="206"/>
      <c r="AA37" s="206"/>
      <c r="AB37" s="206"/>
      <c r="AC37" s="206"/>
      <c r="AD37" s="206">
        <f t="shared" si="2"/>
        <v>0</v>
      </c>
    </row>
    <row r="38" spans="1:30" s="110" customFormat="1" ht="15" customHeight="1" thickBot="1">
      <c r="A38" s="64" t="s">
        <v>57</v>
      </c>
      <c r="B38" s="109"/>
      <c r="C38" s="112"/>
      <c r="D38" s="95" t="s">
        <v>696</v>
      </c>
      <c r="E38" s="107" t="s">
        <v>690</v>
      </c>
      <c r="F38" s="97"/>
      <c r="G38" s="97"/>
      <c r="H38" s="97"/>
      <c r="I38" s="108"/>
      <c r="J38" s="206"/>
      <c r="K38" s="206"/>
      <c r="L38" s="206"/>
      <c r="M38" s="206"/>
      <c r="N38" s="206"/>
      <c r="O38" s="206"/>
      <c r="P38" s="206"/>
      <c r="Q38" s="64" t="s">
        <v>215</v>
      </c>
      <c r="R38" s="109"/>
      <c r="S38" s="112"/>
      <c r="T38" s="95" t="s">
        <v>696</v>
      </c>
      <c r="U38" s="107" t="s">
        <v>690</v>
      </c>
      <c r="V38" s="97"/>
      <c r="W38" s="97"/>
      <c r="X38" s="117"/>
      <c r="Y38" s="206"/>
      <c r="Z38" s="206"/>
      <c r="AA38" s="206"/>
      <c r="AB38" s="206"/>
      <c r="AC38" s="206"/>
      <c r="AD38" s="206">
        <f t="shared" si="2"/>
        <v>0</v>
      </c>
    </row>
    <row r="39" spans="1:30" s="134" customFormat="1" ht="15" customHeight="1" thickBot="1">
      <c r="A39" s="64" t="s">
        <v>58</v>
      </c>
      <c r="B39" s="135"/>
      <c r="C39" s="143" t="s">
        <v>111</v>
      </c>
      <c r="D39" s="140" t="s">
        <v>567</v>
      </c>
      <c r="E39" s="146"/>
      <c r="F39" s="141"/>
      <c r="G39" s="141"/>
      <c r="H39" s="141"/>
      <c r="I39" s="142">
        <f>SUM(I40)</f>
        <v>0</v>
      </c>
      <c r="J39" s="142">
        <f aca="true" t="shared" si="9" ref="J39:P39">SUM(J40)</f>
        <v>0</v>
      </c>
      <c r="K39" s="142">
        <f t="shared" si="9"/>
        <v>0</v>
      </c>
      <c r="L39" s="142"/>
      <c r="M39" s="142">
        <f t="shared" si="9"/>
        <v>0</v>
      </c>
      <c r="N39" s="142">
        <f t="shared" si="9"/>
        <v>0</v>
      </c>
      <c r="O39" s="142">
        <f t="shared" si="9"/>
        <v>0</v>
      </c>
      <c r="P39" s="142">
        <f t="shared" si="9"/>
        <v>0</v>
      </c>
      <c r="Q39" s="64" t="s">
        <v>242</v>
      </c>
      <c r="R39" s="135"/>
      <c r="S39" s="143" t="s">
        <v>111</v>
      </c>
      <c r="T39" s="140" t="s">
        <v>567</v>
      </c>
      <c r="U39" s="146"/>
      <c r="V39" s="141"/>
      <c r="W39" s="141"/>
      <c r="X39" s="213"/>
      <c r="Y39" s="142">
        <f>SUM(Y40)</f>
        <v>0</v>
      </c>
      <c r="Z39" s="205">
        <f>SUM(Z40)</f>
        <v>0</v>
      </c>
      <c r="AA39" s="205">
        <f>SUM(AA40)</f>
        <v>0</v>
      </c>
      <c r="AB39" s="205">
        <f>SUM(AB40)</f>
        <v>0</v>
      </c>
      <c r="AC39" s="205">
        <f>SUM(AC40)</f>
        <v>0</v>
      </c>
      <c r="AD39" s="233">
        <f t="shared" si="2"/>
        <v>0</v>
      </c>
    </row>
    <row r="40" spans="1:30" s="110" customFormat="1" ht="15" customHeight="1" thickBot="1">
      <c r="A40" s="64" t="s">
        <v>59</v>
      </c>
      <c r="B40" s="109"/>
      <c r="C40" s="112"/>
      <c r="D40" s="95" t="s">
        <v>697</v>
      </c>
      <c r="E40" s="97" t="s">
        <v>568</v>
      </c>
      <c r="F40" s="97"/>
      <c r="G40" s="97"/>
      <c r="H40" s="97"/>
      <c r="I40" s="99"/>
      <c r="J40" s="208"/>
      <c r="K40" s="208"/>
      <c r="L40" s="208"/>
      <c r="M40" s="208"/>
      <c r="N40" s="208"/>
      <c r="O40" s="208"/>
      <c r="P40" s="208"/>
      <c r="Q40" s="64" t="s">
        <v>243</v>
      </c>
      <c r="R40" s="109"/>
      <c r="S40" s="112"/>
      <c r="T40" s="95" t="s">
        <v>697</v>
      </c>
      <c r="U40" s="97" t="s">
        <v>568</v>
      </c>
      <c r="V40" s="97"/>
      <c r="W40" s="97"/>
      <c r="X40" s="117"/>
      <c r="Y40" s="208"/>
      <c r="Z40" s="208"/>
      <c r="AA40" s="208"/>
      <c r="AB40" s="208"/>
      <c r="AC40" s="208"/>
      <c r="AD40" s="208">
        <f t="shared" si="2"/>
        <v>0</v>
      </c>
    </row>
    <row r="41" spans="1:30" s="134" customFormat="1" ht="30" customHeight="1" thickBot="1">
      <c r="A41" s="64" t="s">
        <v>60</v>
      </c>
      <c r="B41" s="361" t="s">
        <v>946</v>
      </c>
      <c r="C41" s="362"/>
      <c r="D41" s="362"/>
      <c r="E41" s="362"/>
      <c r="F41" s="362"/>
      <c r="G41" s="362"/>
      <c r="H41" s="362"/>
      <c r="I41" s="147">
        <f>SUM(I7,I32)</f>
        <v>9150</v>
      </c>
      <c r="J41" s="147">
        <f aca="true" t="shared" si="10" ref="J41:P41">SUM(J7,J32)</f>
        <v>0</v>
      </c>
      <c r="K41" s="147">
        <f t="shared" si="10"/>
        <v>14408</v>
      </c>
      <c r="L41" s="147">
        <f t="shared" si="10"/>
        <v>4579</v>
      </c>
      <c r="M41" s="147">
        <f t="shared" si="10"/>
        <v>549</v>
      </c>
      <c r="N41" s="147">
        <f t="shared" si="10"/>
        <v>0</v>
      </c>
      <c r="O41" s="147">
        <f>SUM(O7,O32)</f>
        <v>150</v>
      </c>
      <c r="P41" s="147">
        <f t="shared" si="10"/>
        <v>0</v>
      </c>
      <c r="Q41" s="64" t="s">
        <v>244</v>
      </c>
      <c r="R41" s="361" t="s">
        <v>591</v>
      </c>
      <c r="S41" s="362"/>
      <c r="T41" s="362"/>
      <c r="U41" s="362"/>
      <c r="V41" s="362"/>
      <c r="W41" s="362"/>
      <c r="X41" s="369"/>
      <c r="Y41" s="147">
        <f>SUM(Y7,Y32)</f>
        <v>0</v>
      </c>
      <c r="Z41" s="209">
        <f>SUM(Z7,Z32)</f>
        <v>0</v>
      </c>
      <c r="AA41" s="209">
        <f>SUM(AA7,AA32)</f>
        <v>0</v>
      </c>
      <c r="AB41" s="209">
        <f>SUM(AB7,AB32)</f>
        <v>0</v>
      </c>
      <c r="AC41" s="209">
        <f>SUM(AC7,AC32)</f>
        <v>0</v>
      </c>
      <c r="AD41" s="235">
        <f t="shared" si="2"/>
        <v>28836</v>
      </c>
    </row>
    <row r="42" spans="1:30" s="149" customFormat="1" ht="15" customHeight="1" thickBot="1">
      <c r="A42" s="64" t="s">
        <v>61</v>
      </c>
      <c r="B42" s="130" t="s">
        <v>112</v>
      </c>
      <c r="C42" s="363" t="s">
        <v>569</v>
      </c>
      <c r="D42" s="363"/>
      <c r="E42" s="363"/>
      <c r="F42" s="363"/>
      <c r="G42" s="363"/>
      <c r="H42" s="363"/>
      <c r="I42" s="133">
        <f>SUM(I43,I45,I48)</f>
        <v>0</v>
      </c>
      <c r="J42" s="133">
        <f aca="true" t="shared" si="11" ref="J42:P42">SUM(J43,J45,J48)</f>
        <v>0</v>
      </c>
      <c r="K42" s="133">
        <f t="shared" si="11"/>
        <v>0</v>
      </c>
      <c r="L42" s="133"/>
      <c r="M42" s="133">
        <f t="shared" si="11"/>
        <v>0</v>
      </c>
      <c r="N42" s="133">
        <f t="shared" si="11"/>
        <v>502956</v>
      </c>
      <c r="O42" s="133">
        <f>SUM(O43,O45,O48)</f>
        <v>0</v>
      </c>
      <c r="P42" s="133">
        <f t="shared" si="11"/>
        <v>0</v>
      </c>
      <c r="Q42" s="64" t="s">
        <v>245</v>
      </c>
      <c r="R42" s="130" t="s">
        <v>112</v>
      </c>
      <c r="S42" s="363" t="s">
        <v>569</v>
      </c>
      <c r="T42" s="363"/>
      <c r="U42" s="363"/>
      <c r="V42" s="363"/>
      <c r="W42" s="363"/>
      <c r="X42" s="370"/>
      <c r="Y42" s="133">
        <f>SUM(Y43,Y45,Y48)</f>
        <v>0</v>
      </c>
      <c r="Z42" s="204">
        <f>SUM(Z43,Z45,Z48)</f>
        <v>0</v>
      </c>
      <c r="AA42" s="204">
        <f>SUM(AA43,AA45,AA48)</f>
        <v>0</v>
      </c>
      <c r="AB42" s="204">
        <f>SUM(AB43,AB45,AB48)</f>
        <v>0</v>
      </c>
      <c r="AC42" s="204">
        <f>SUM(AC43,AC45,AC48)</f>
        <v>0</v>
      </c>
      <c r="AD42" s="232">
        <f t="shared" si="2"/>
        <v>502956</v>
      </c>
    </row>
    <row r="43" spans="1:30" s="149" customFormat="1" ht="15" customHeight="1" thickBot="1">
      <c r="A43" s="64" t="s">
        <v>62</v>
      </c>
      <c r="B43" s="148"/>
      <c r="C43" s="136" t="s">
        <v>113</v>
      </c>
      <c r="D43" s="137" t="s">
        <v>570</v>
      </c>
      <c r="E43" s="137"/>
      <c r="F43" s="137"/>
      <c r="G43" s="137"/>
      <c r="H43" s="137"/>
      <c r="I43" s="139">
        <f>SUM(I44)</f>
        <v>0</v>
      </c>
      <c r="J43" s="139">
        <f aca="true" t="shared" si="12" ref="J43:P43">SUM(J44)</f>
        <v>0</v>
      </c>
      <c r="K43" s="139">
        <f t="shared" si="12"/>
        <v>0</v>
      </c>
      <c r="L43" s="139"/>
      <c r="M43" s="139">
        <f t="shared" si="12"/>
        <v>0</v>
      </c>
      <c r="N43" s="139">
        <f t="shared" si="12"/>
        <v>0</v>
      </c>
      <c r="O43" s="139">
        <f t="shared" si="12"/>
        <v>0</v>
      </c>
      <c r="P43" s="139">
        <f t="shared" si="12"/>
        <v>0</v>
      </c>
      <c r="Q43" s="64" t="s">
        <v>246</v>
      </c>
      <c r="R43" s="148"/>
      <c r="S43" s="136" t="s">
        <v>113</v>
      </c>
      <c r="T43" s="137" t="s">
        <v>570</v>
      </c>
      <c r="U43" s="137"/>
      <c r="V43" s="137"/>
      <c r="W43" s="137"/>
      <c r="X43" s="219"/>
      <c r="Y43" s="139">
        <f>SUM(Y44)</f>
        <v>0</v>
      </c>
      <c r="Z43" s="207">
        <f>SUM(Z44)</f>
        <v>0</v>
      </c>
      <c r="AA43" s="207">
        <f>SUM(AA44)</f>
        <v>0</v>
      </c>
      <c r="AB43" s="207">
        <f>SUM(AB44)</f>
        <v>0</v>
      </c>
      <c r="AC43" s="207">
        <f>SUM(AC44)</f>
        <v>0</v>
      </c>
      <c r="AD43" s="234">
        <f t="shared" si="2"/>
        <v>0</v>
      </c>
    </row>
    <row r="44" spans="1:30" s="110" customFormat="1" ht="15" customHeight="1" thickBot="1">
      <c r="A44" s="64" t="s">
        <v>64</v>
      </c>
      <c r="B44" s="109"/>
      <c r="C44" s="95"/>
      <c r="D44" s="113" t="s">
        <v>698</v>
      </c>
      <c r="E44" s="107" t="s">
        <v>571</v>
      </c>
      <c r="F44" s="107"/>
      <c r="G44" s="107"/>
      <c r="H44" s="107"/>
      <c r="I44" s="108"/>
      <c r="J44" s="206"/>
      <c r="K44" s="206"/>
      <c r="L44" s="206"/>
      <c r="M44" s="206"/>
      <c r="N44" s="206"/>
      <c r="O44" s="206"/>
      <c r="P44" s="206"/>
      <c r="Q44" s="64" t="s">
        <v>247</v>
      </c>
      <c r="R44" s="109"/>
      <c r="S44" s="95"/>
      <c r="T44" s="113" t="s">
        <v>698</v>
      </c>
      <c r="U44" s="107" t="s">
        <v>571</v>
      </c>
      <c r="V44" s="107"/>
      <c r="W44" s="107"/>
      <c r="X44" s="214"/>
      <c r="Y44" s="206"/>
      <c r="Z44" s="206"/>
      <c r="AA44" s="206"/>
      <c r="AB44" s="206"/>
      <c r="AC44" s="206"/>
      <c r="AD44" s="206">
        <f t="shared" si="2"/>
        <v>0</v>
      </c>
    </row>
    <row r="45" spans="1:30" s="134" customFormat="1" ht="15" customHeight="1" thickBot="1">
      <c r="A45" s="64" t="s">
        <v>65</v>
      </c>
      <c r="B45" s="135"/>
      <c r="C45" s="136" t="s">
        <v>572</v>
      </c>
      <c r="D45" s="137" t="s">
        <v>573</v>
      </c>
      <c r="E45" s="137"/>
      <c r="F45" s="137"/>
      <c r="G45" s="137"/>
      <c r="H45" s="141"/>
      <c r="I45" s="139">
        <f>SUM(I46:I47)</f>
        <v>0</v>
      </c>
      <c r="J45" s="139">
        <f aca="true" t="shared" si="13" ref="J45:P45">SUM(J46:J47)</f>
        <v>0</v>
      </c>
      <c r="K45" s="139">
        <f t="shared" si="13"/>
        <v>0</v>
      </c>
      <c r="L45" s="139"/>
      <c r="M45" s="139">
        <f t="shared" si="13"/>
        <v>0</v>
      </c>
      <c r="N45" s="139">
        <f t="shared" si="13"/>
        <v>43081</v>
      </c>
      <c r="O45" s="139">
        <f>SUM(O46:O47)</f>
        <v>0</v>
      </c>
      <c r="P45" s="139">
        <f t="shared" si="13"/>
        <v>0</v>
      </c>
      <c r="Q45" s="64" t="s">
        <v>248</v>
      </c>
      <c r="R45" s="135"/>
      <c r="S45" s="136" t="s">
        <v>572</v>
      </c>
      <c r="T45" s="137" t="s">
        <v>573</v>
      </c>
      <c r="U45" s="137"/>
      <c r="V45" s="137"/>
      <c r="W45" s="137"/>
      <c r="X45" s="213"/>
      <c r="Y45" s="139">
        <f>SUM(Y46:Y47)</f>
        <v>0</v>
      </c>
      <c r="Z45" s="207">
        <f>SUM(Z46:Z47)</f>
        <v>0</v>
      </c>
      <c r="AA45" s="207">
        <f>SUM(AA46:AA47)</f>
        <v>0</v>
      </c>
      <c r="AB45" s="207">
        <f>SUM(AB46:AB47)</f>
        <v>0</v>
      </c>
      <c r="AC45" s="207">
        <f>SUM(AC46:AC47)</f>
        <v>0</v>
      </c>
      <c r="AD45" s="234">
        <f t="shared" si="2"/>
        <v>43081</v>
      </c>
    </row>
    <row r="46" spans="1:30" s="96" customFormat="1" ht="15" customHeight="1" thickBot="1">
      <c r="A46" s="64" t="s">
        <v>66</v>
      </c>
      <c r="B46" s="94"/>
      <c r="C46" s="95"/>
      <c r="D46" s="95" t="s">
        <v>703</v>
      </c>
      <c r="E46" s="97" t="s">
        <v>699</v>
      </c>
      <c r="F46" s="97"/>
      <c r="G46" s="97"/>
      <c r="H46" s="98"/>
      <c r="I46" s="99"/>
      <c r="J46" s="208"/>
      <c r="K46" s="208"/>
      <c r="L46" s="208"/>
      <c r="M46" s="208"/>
      <c r="N46" s="208">
        <v>37971</v>
      </c>
      <c r="O46" s="208"/>
      <c r="P46" s="208"/>
      <c r="Q46" s="64" t="s">
        <v>249</v>
      </c>
      <c r="R46" s="94"/>
      <c r="S46" s="95"/>
      <c r="T46" s="95" t="s">
        <v>703</v>
      </c>
      <c r="U46" s="97" t="s">
        <v>699</v>
      </c>
      <c r="V46" s="97"/>
      <c r="W46" s="97"/>
      <c r="X46" s="217"/>
      <c r="Y46" s="208"/>
      <c r="Z46" s="208"/>
      <c r="AA46" s="208"/>
      <c r="AB46" s="208"/>
      <c r="AC46" s="208"/>
      <c r="AD46" s="208">
        <f t="shared" si="2"/>
        <v>37971</v>
      </c>
    </row>
    <row r="47" spans="1:30" s="96" customFormat="1" ht="15" customHeight="1" thickBot="1">
      <c r="A47" s="64" t="s">
        <v>67</v>
      </c>
      <c r="B47" s="94"/>
      <c r="C47" s="95"/>
      <c r="D47" s="95" t="s">
        <v>704</v>
      </c>
      <c r="E47" s="97" t="s">
        <v>700</v>
      </c>
      <c r="F47" s="97"/>
      <c r="G47" s="97"/>
      <c r="H47" s="98"/>
      <c r="I47" s="99"/>
      <c r="J47" s="208"/>
      <c r="K47" s="208"/>
      <c r="L47" s="208"/>
      <c r="M47" s="208"/>
      <c r="N47" s="208">
        <v>5110</v>
      </c>
      <c r="O47" s="208"/>
      <c r="P47" s="208"/>
      <c r="Q47" s="64" t="s">
        <v>250</v>
      </c>
      <c r="R47" s="94"/>
      <c r="S47" s="95"/>
      <c r="T47" s="95" t="s">
        <v>704</v>
      </c>
      <c r="U47" s="97" t="s">
        <v>700</v>
      </c>
      <c r="V47" s="97"/>
      <c r="W47" s="97"/>
      <c r="X47" s="217"/>
      <c r="Y47" s="208"/>
      <c r="Z47" s="208"/>
      <c r="AA47" s="208"/>
      <c r="AB47" s="208"/>
      <c r="AC47" s="208"/>
      <c r="AD47" s="208">
        <f t="shared" si="2"/>
        <v>5110</v>
      </c>
    </row>
    <row r="48" spans="1:30" s="134" customFormat="1" ht="15" customHeight="1" thickBot="1">
      <c r="A48" s="64" t="s">
        <v>68</v>
      </c>
      <c r="B48" s="188"/>
      <c r="C48" s="189" t="s">
        <v>574</v>
      </c>
      <c r="D48" s="190" t="s">
        <v>225</v>
      </c>
      <c r="E48" s="191"/>
      <c r="F48" s="191"/>
      <c r="G48" s="191"/>
      <c r="H48" s="191"/>
      <c r="I48" s="192"/>
      <c r="J48" s="210"/>
      <c r="K48" s="210"/>
      <c r="L48" s="210"/>
      <c r="M48" s="210"/>
      <c r="N48" s="210">
        <f>AD78-AD41-AD45</f>
        <v>459875</v>
      </c>
      <c r="O48" s="210"/>
      <c r="P48" s="210"/>
      <c r="Q48" s="64" t="s">
        <v>251</v>
      </c>
      <c r="R48" s="188"/>
      <c r="S48" s="189" t="s">
        <v>574</v>
      </c>
      <c r="T48" s="190" t="s">
        <v>225</v>
      </c>
      <c r="U48" s="191"/>
      <c r="V48" s="191"/>
      <c r="W48" s="191"/>
      <c r="X48" s="220"/>
      <c r="Y48" s="210"/>
      <c r="Z48" s="210"/>
      <c r="AA48" s="210"/>
      <c r="AB48" s="210"/>
      <c r="AC48" s="210"/>
      <c r="AD48" s="236">
        <f t="shared" si="2"/>
        <v>459875</v>
      </c>
    </row>
    <row r="49" spans="1:30" s="134" customFormat="1" ht="15" customHeight="1" thickBot="1">
      <c r="A49" s="64" t="s">
        <v>69</v>
      </c>
      <c r="B49" s="151" t="s">
        <v>585</v>
      </c>
      <c r="C49" s="152" t="s">
        <v>586</v>
      </c>
      <c r="D49" s="153"/>
      <c r="E49" s="153"/>
      <c r="F49" s="153"/>
      <c r="G49" s="153"/>
      <c r="H49" s="153"/>
      <c r="I49" s="133"/>
      <c r="J49" s="204"/>
      <c r="K49" s="204"/>
      <c r="L49" s="204"/>
      <c r="M49" s="204"/>
      <c r="N49" s="204"/>
      <c r="O49" s="204"/>
      <c r="P49" s="204"/>
      <c r="Q49" s="64" t="s">
        <v>252</v>
      </c>
      <c r="R49" s="151" t="s">
        <v>585</v>
      </c>
      <c r="S49" s="152" t="s">
        <v>586</v>
      </c>
      <c r="T49" s="153"/>
      <c r="U49" s="153"/>
      <c r="V49" s="153"/>
      <c r="W49" s="153"/>
      <c r="X49" s="221"/>
      <c r="Y49" s="204"/>
      <c r="Z49" s="204"/>
      <c r="AA49" s="204"/>
      <c r="AB49" s="204"/>
      <c r="AC49" s="204"/>
      <c r="AD49" s="232">
        <f t="shared" si="2"/>
        <v>0</v>
      </c>
    </row>
    <row r="50" spans="1:30" s="134" customFormat="1" ht="30" customHeight="1" thickBot="1">
      <c r="A50" s="64" t="s">
        <v>70</v>
      </c>
      <c r="B50" s="359" t="s">
        <v>945</v>
      </c>
      <c r="C50" s="360"/>
      <c r="D50" s="360"/>
      <c r="E50" s="360"/>
      <c r="F50" s="360"/>
      <c r="G50" s="360"/>
      <c r="H50" s="360"/>
      <c r="I50" s="147">
        <f>SUM(I41,I42,I49)</f>
        <v>9150</v>
      </c>
      <c r="J50" s="147">
        <f aca="true" t="shared" si="14" ref="J50:P50">SUM(J41,J42,J49)</f>
        <v>0</v>
      </c>
      <c r="K50" s="147">
        <f t="shared" si="14"/>
        <v>14408</v>
      </c>
      <c r="L50" s="147">
        <f t="shared" si="14"/>
        <v>4579</v>
      </c>
      <c r="M50" s="147">
        <f t="shared" si="14"/>
        <v>549</v>
      </c>
      <c r="N50" s="147">
        <f t="shared" si="14"/>
        <v>502956</v>
      </c>
      <c r="O50" s="147">
        <f>SUM(O41,O42,O49)</f>
        <v>150</v>
      </c>
      <c r="P50" s="147">
        <f t="shared" si="14"/>
        <v>0</v>
      </c>
      <c r="Q50" s="64" t="s">
        <v>253</v>
      </c>
      <c r="R50" s="359" t="s">
        <v>592</v>
      </c>
      <c r="S50" s="360"/>
      <c r="T50" s="360"/>
      <c r="U50" s="360"/>
      <c r="V50" s="360"/>
      <c r="W50" s="360"/>
      <c r="X50" s="371"/>
      <c r="Y50" s="147">
        <f>SUM(Y41,Y42,Y49)</f>
        <v>0</v>
      </c>
      <c r="Z50" s="209">
        <f>SUM(Z41,Z42,Z49)</f>
        <v>0</v>
      </c>
      <c r="AA50" s="209">
        <f>SUM(AA41,AA42,AA49)</f>
        <v>0</v>
      </c>
      <c r="AB50" s="209">
        <f>SUM(AB41,AB42,AB49)</f>
        <v>0</v>
      </c>
      <c r="AC50" s="209">
        <f>SUM(AC41,AC42,AC49)</f>
        <v>0</v>
      </c>
      <c r="AD50" s="237">
        <f t="shared" si="2"/>
        <v>531792</v>
      </c>
    </row>
    <row r="51" spans="1:30" s="56" customFormat="1" ht="15" customHeight="1" thickBot="1">
      <c r="A51" s="64" t="s">
        <v>71</v>
      </c>
      <c r="B51" s="118"/>
      <c r="C51" s="119"/>
      <c r="D51" s="119"/>
      <c r="E51" s="119"/>
      <c r="F51" s="119"/>
      <c r="G51" s="119"/>
      <c r="H51" s="119"/>
      <c r="I51" s="119"/>
      <c r="J51" s="119"/>
      <c r="K51" s="119"/>
      <c r="L51" s="119"/>
      <c r="M51" s="119"/>
      <c r="N51" s="119"/>
      <c r="O51" s="119"/>
      <c r="P51" s="119"/>
      <c r="Q51" s="64" t="s">
        <v>254</v>
      </c>
      <c r="R51" s="119"/>
      <c r="S51" s="119"/>
      <c r="T51" s="119"/>
      <c r="U51" s="119"/>
      <c r="V51" s="119"/>
      <c r="W51" s="119"/>
      <c r="X51" s="119"/>
      <c r="Y51" s="119"/>
      <c r="Z51" s="119"/>
      <c r="AA51" s="119"/>
      <c r="AB51" s="119"/>
      <c r="AC51" s="119"/>
      <c r="AD51" s="119"/>
    </row>
    <row r="52" spans="1:30" ht="115.5" thickBot="1">
      <c r="A52" s="64" t="s">
        <v>72</v>
      </c>
      <c r="B52" s="353" t="s">
        <v>123</v>
      </c>
      <c r="C52" s="353"/>
      <c r="D52" s="353"/>
      <c r="E52" s="353"/>
      <c r="F52" s="353"/>
      <c r="G52" s="353"/>
      <c r="H52" s="353"/>
      <c r="I52" s="57" t="s">
        <v>835</v>
      </c>
      <c r="J52" s="57" t="s">
        <v>650</v>
      </c>
      <c r="K52" s="249" t="s">
        <v>882</v>
      </c>
      <c r="L52" s="249" t="s">
        <v>885</v>
      </c>
      <c r="M52" s="57" t="s">
        <v>606</v>
      </c>
      <c r="N52" s="249" t="s">
        <v>609</v>
      </c>
      <c r="O52" s="249" t="s">
        <v>884</v>
      </c>
      <c r="P52" s="57" t="s">
        <v>611</v>
      </c>
      <c r="Q52" s="64" t="s">
        <v>255</v>
      </c>
      <c r="R52" s="372" t="s">
        <v>123</v>
      </c>
      <c r="S52" s="373"/>
      <c r="T52" s="373"/>
      <c r="U52" s="373"/>
      <c r="V52" s="373"/>
      <c r="W52" s="373"/>
      <c r="X52" s="374"/>
      <c r="Y52" s="57" t="s">
        <v>616</v>
      </c>
      <c r="Z52" s="57" t="s">
        <v>620</v>
      </c>
      <c r="AA52" s="57" t="s">
        <v>846</v>
      </c>
      <c r="AB52" s="57" t="s">
        <v>651</v>
      </c>
      <c r="AC52" s="57" t="s">
        <v>883</v>
      </c>
      <c r="AD52" s="105" t="s">
        <v>868</v>
      </c>
    </row>
    <row r="53" spans="1:30" s="157" customFormat="1" ht="16.5" thickBot="1">
      <c r="A53" s="64" t="s">
        <v>73</v>
      </c>
      <c r="B53" s="154" t="s">
        <v>99</v>
      </c>
      <c r="C53" s="155" t="s">
        <v>114</v>
      </c>
      <c r="D53" s="155"/>
      <c r="E53" s="155"/>
      <c r="F53" s="155"/>
      <c r="G53" s="155"/>
      <c r="H53" s="155"/>
      <c r="I53" s="156">
        <f>SUM(I54:I58)</f>
        <v>378250</v>
      </c>
      <c r="J53" s="156">
        <f aca="true" t="shared" si="15" ref="J53:P53">SUM(J54:J58)</f>
        <v>9600</v>
      </c>
      <c r="K53" s="156">
        <f t="shared" si="15"/>
        <v>0</v>
      </c>
      <c r="L53" s="156">
        <f>SUM(L54:L58)</f>
        <v>10546</v>
      </c>
      <c r="M53" s="156">
        <f t="shared" si="15"/>
        <v>2607</v>
      </c>
      <c r="N53" s="156">
        <f t="shared" si="15"/>
        <v>33081</v>
      </c>
      <c r="O53" s="156">
        <f>SUM(O54:O58)</f>
        <v>0</v>
      </c>
      <c r="P53" s="156">
        <f t="shared" si="15"/>
        <v>180</v>
      </c>
      <c r="Q53" s="64" t="s">
        <v>256</v>
      </c>
      <c r="R53" s="154" t="s">
        <v>99</v>
      </c>
      <c r="S53" s="155" t="s">
        <v>114</v>
      </c>
      <c r="T53" s="155"/>
      <c r="U53" s="155"/>
      <c r="V53" s="155"/>
      <c r="W53" s="155"/>
      <c r="X53" s="155"/>
      <c r="Y53" s="156">
        <f>SUM(Y54:Y58)</f>
        <v>965</v>
      </c>
      <c r="Z53" s="156">
        <f>SUM(Z54:Z58)</f>
        <v>4009</v>
      </c>
      <c r="AA53" s="156">
        <f>SUM(AA54:AA58)</f>
        <v>3646</v>
      </c>
      <c r="AB53" s="156">
        <f>SUM(AB54:AB58)</f>
        <v>52839</v>
      </c>
      <c r="AC53" s="156">
        <f>SUM(AC54:AC58)</f>
        <v>15840</v>
      </c>
      <c r="AD53" s="238">
        <f>SUM(I53:P53,Y53:AC53)</f>
        <v>511563</v>
      </c>
    </row>
    <row r="54" spans="1:30" s="157" customFormat="1" ht="16.5" thickBot="1">
      <c r="A54" s="64" t="s">
        <v>74</v>
      </c>
      <c r="B54" s="158"/>
      <c r="C54" s="159" t="s">
        <v>101</v>
      </c>
      <c r="D54" s="160" t="s">
        <v>115</v>
      </c>
      <c r="E54" s="160"/>
      <c r="F54" s="160"/>
      <c r="G54" s="160"/>
      <c r="H54" s="161"/>
      <c r="I54" s="162">
        <f>193761+Javaslat!N430</f>
        <v>192174</v>
      </c>
      <c r="J54" s="162"/>
      <c r="K54" s="162"/>
      <c r="L54" s="162">
        <f>3510+Javaslat!N443</f>
        <v>5339</v>
      </c>
      <c r="M54" s="162">
        <v>1479</v>
      </c>
      <c r="N54" s="162"/>
      <c r="O54" s="162"/>
      <c r="P54" s="162">
        <v>140</v>
      </c>
      <c r="Q54" s="64" t="s">
        <v>257</v>
      </c>
      <c r="R54" s="158"/>
      <c r="S54" s="159" t="s">
        <v>101</v>
      </c>
      <c r="T54" s="160" t="s">
        <v>115</v>
      </c>
      <c r="U54" s="160"/>
      <c r="V54" s="160"/>
      <c r="W54" s="160"/>
      <c r="X54" s="161"/>
      <c r="Y54" s="162">
        <v>750</v>
      </c>
      <c r="Z54" s="162">
        <v>3120</v>
      </c>
      <c r="AA54" s="162"/>
      <c r="AB54" s="162"/>
      <c r="AC54" s="162"/>
      <c r="AD54" s="239">
        <f aca="true" t="shared" si="16" ref="AD54:AD78">SUM(I54:P54,Y54:AC54)</f>
        <v>203002</v>
      </c>
    </row>
    <row r="55" spans="1:30" s="157" customFormat="1" ht="16.5" thickBot="1">
      <c r="A55" s="64" t="s">
        <v>75</v>
      </c>
      <c r="B55" s="158"/>
      <c r="C55" s="159" t="s">
        <v>103</v>
      </c>
      <c r="D55" s="163" t="s">
        <v>575</v>
      </c>
      <c r="E55" s="164"/>
      <c r="F55" s="163"/>
      <c r="G55" s="163"/>
      <c r="H55" s="165"/>
      <c r="I55" s="166">
        <f>59418+Javaslat!N421</f>
        <v>57095</v>
      </c>
      <c r="J55" s="166"/>
      <c r="K55" s="166"/>
      <c r="L55" s="166">
        <f>948+Javaslat!N447</f>
        <v>1390</v>
      </c>
      <c r="M55" s="166">
        <v>378</v>
      </c>
      <c r="N55" s="166"/>
      <c r="O55" s="166"/>
      <c r="P55" s="166">
        <v>40</v>
      </c>
      <c r="Q55" s="64" t="s">
        <v>258</v>
      </c>
      <c r="R55" s="158"/>
      <c r="S55" s="159" t="s">
        <v>103</v>
      </c>
      <c r="T55" s="163" t="s">
        <v>575</v>
      </c>
      <c r="U55" s="164"/>
      <c r="V55" s="163"/>
      <c r="W55" s="163"/>
      <c r="X55" s="165"/>
      <c r="Y55" s="166">
        <v>215</v>
      </c>
      <c r="Z55" s="166">
        <v>889</v>
      </c>
      <c r="AA55" s="166"/>
      <c r="AB55" s="166"/>
      <c r="AC55" s="166"/>
      <c r="AD55" s="58">
        <f t="shared" si="16"/>
        <v>60007</v>
      </c>
    </row>
    <row r="56" spans="1:30" s="157" customFormat="1" ht="16.5" thickBot="1">
      <c r="A56" s="64" t="s">
        <v>76</v>
      </c>
      <c r="B56" s="158"/>
      <c r="C56" s="159" t="s">
        <v>104</v>
      </c>
      <c r="D56" s="163" t="s">
        <v>576</v>
      </c>
      <c r="E56" s="164"/>
      <c r="F56" s="163"/>
      <c r="G56" s="163"/>
      <c r="H56" s="165"/>
      <c r="I56" s="166">
        <v>127086</v>
      </c>
      <c r="J56" s="166">
        <v>9600</v>
      </c>
      <c r="K56" s="166"/>
      <c r="L56" s="166">
        <f>3798+Javaslat!N451</f>
        <v>3817</v>
      </c>
      <c r="M56" s="166">
        <v>750</v>
      </c>
      <c r="N56" s="166"/>
      <c r="O56" s="166"/>
      <c r="P56" s="166"/>
      <c r="Q56" s="64" t="s">
        <v>259</v>
      </c>
      <c r="R56" s="158"/>
      <c r="S56" s="159" t="s">
        <v>104</v>
      </c>
      <c r="T56" s="163" t="s">
        <v>576</v>
      </c>
      <c r="U56" s="164"/>
      <c r="V56" s="163"/>
      <c r="W56" s="163"/>
      <c r="X56" s="165"/>
      <c r="Y56" s="166"/>
      <c r="Z56" s="166"/>
      <c r="AA56" s="166"/>
      <c r="AB56" s="166"/>
      <c r="AC56" s="166"/>
      <c r="AD56" s="58">
        <f t="shared" si="16"/>
        <v>141253</v>
      </c>
    </row>
    <row r="57" spans="1:30" s="157" customFormat="1" ht="16.5" thickBot="1">
      <c r="A57" s="64" t="s">
        <v>77</v>
      </c>
      <c r="B57" s="158"/>
      <c r="C57" s="159" t="s">
        <v>106</v>
      </c>
      <c r="D57" s="167" t="s">
        <v>596</v>
      </c>
      <c r="E57" s="168"/>
      <c r="F57" s="168"/>
      <c r="G57" s="167"/>
      <c r="H57" s="169"/>
      <c r="I57" s="187"/>
      <c r="J57" s="187"/>
      <c r="K57" s="187"/>
      <c r="L57" s="187"/>
      <c r="M57" s="187"/>
      <c r="N57" s="187"/>
      <c r="O57" s="187"/>
      <c r="P57" s="187"/>
      <c r="Q57" s="64" t="s">
        <v>260</v>
      </c>
      <c r="R57" s="158"/>
      <c r="S57" s="159" t="s">
        <v>106</v>
      </c>
      <c r="T57" s="167" t="s">
        <v>596</v>
      </c>
      <c r="U57" s="168"/>
      <c r="V57" s="168"/>
      <c r="W57" s="167"/>
      <c r="X57" s="169"/>
      <c r="Y57" s="187"/>
      <c r="Z57" s="187"/>
      <c r="AA57" s="187">
        <v>3646</v>
      </c>
      <c r="AB57" s="187">
        <v>52839</v>
      </c>
      <c r="AC57" s="187">
        <v>15840</v>
      </c>
      <c r="AD57" s="59">
        <f t="shared" si="16"/>
        <v>72325</v>
      </c>
    </row>
    <row r="58" spans="1:30" s="157" customFormat="1" ht="16.5" thickBot="1">
      <c r="A58" s="64" t="s">
        <v>78</v>
      </c>
      <c r="B58" s="158"/>
      <c r="C58" s="159" t="s">
        <v>105</v>
      </c>
      <c r="D58" s="163" t="s">
        <v>577</v>
      </c>
      <c r="E58" s="164"/>
      <c r="F58" s="163"/>
      <c r="G58" s="163"/>
      <c r="H58" s="165"/>
      <c r="I58" s="166">
        <f>SUM(I59:I63)</f>
        <v>1895</v>
      </c>
      <c r="J58" s="166">
        <f aca="true" t="shared" si="17" ref="J58:P58">SUM(J59:J63)</f>
        <v>0</v>
      </c>
      <c r="K58" s="166">
        <f t="shared" si="17"/>
        <v>0</v>
      </c>
      <c r="L58" s="166">
        <f>SUM(L59:L63)</f>
        <v>0</v>
      </c>
      <c r="M58" s="166">
        <f t="shared" si="17"/>
        <v>0</v>
      </c>
      <c r="N58" s="166">
        <f t="shared" si="17"/>
        <v>33081</v>
      </c>
      <c r="O58" s="166">
        <f>SUM(O59:O63)</f>
        <v>0</v>
      </c>
      <c r="P58" s="166">
        <f t="shared" si="17"/>
        <v>0</v>
      </c>
      <c r="Q58" s="64" t="s">
        <v>261</v>
      </c>
      <c r="R58" s="158"/>
      <c r="S58" s="159" t="s">
        <v>105</v>
      </c>
      <c r="T58" s="163" t="s">
        <v>577</v>
      </c>
      <c r="U58" s="164"/>
      <c r="V58" s="163"/>
      <c r="W58" s="163"/>
      <c r="X58" s="165"/>
      <c r="Y58" s="166">
        <f>SUM(Y59:Y63)</f>
        <v>0</v>
      </c>
      <c r="Z58" s="166">
        <f>SUM(Z59:Z63)</f>
        <v>0</v>
      </c>
      <c r="AA58" s="166">
        <f>SUM(AA59:AA63)</f>
        <v>0</v>
      </c>
      <c r="AB58" s="166">
        <f>SUM(AB59:AB63)</f>
        <v>0</v>
      </c>
      <c r="AC58" s="166">
        <f>SUM(AC59:AC63)</f>
        <v>0</v>
      </c>
      <c r="AD58" s="58">
        <f t="shared" si="16"/>
        <v>34976</v>
      </c>
    </row>
    <row r="59" spans="1:30" s="62" customFormat="1" ht="15" thickBot="1">
      <c r="A59" s="64" t="s">
        <v>80</v>
      </c>
      <c r="B59" s="121"/>
      <c r="C59" s="122"/>
      <c r="D59" s="123" t="s">
        <v>710</v>
      </c>
      <c r="E59" s="124" t="s">
        <v>708</v>
      </c>
      <c r="F59" s="124"/>
      <c r="G59" s="124"/>
      <c r="H59" s="125"/>
      <c r="I59" s="102">
        <f>Javaslat!N427</f>
        <v>1895</v>
      </c>
      <c r="J59" s="102"/>
      <c r="K59" s="102"/>
      <c r="L59" s="102"/>
      <c r="M59" s="102"/>
      <c r="N59" s="102">
        <v>33081</v>
      </c>
      <c r="O59" s="102"/>
      <c r="P59" s="102"/>
      <c r="Q59" s="64" t="s">
        <v>262</v>
      </c>
      <c r="R59" s="121"/>
      <c r="S59" s="122"/>
      <c r="T59" s="123" t="s">
        <v>710</v>
      </c>
      <c r="U59" s="124" t="s">
        <v>708</v>
      </c>
      <c r="V59" s="124"/>
      <c r="W59" s="124"/>
      <c r="X59" s="125"/>
      <c r="Y59" s="102"/>
      <c r="Z59" s="102"/>
      <c r="AA59" s="102"/>
      <c r="AB59" s="102"/>
      <c r="AC59" s="102"/>
      <c r="AD59" s="102">
        <f t="shared" si="16"/>
        <v>34976</v>
      </c>
    </row>
    <row r="60" spans="1:30" s="62" customFormat="1" ht="15" thickBot="1">
      <c r="A60" s="64" t="s">
        <v>81</v>
      </c>
      <c r="B60" s="121"/>
      <c r="C60" s="122"/>
      <c r="D60" s="123" t="s">
        <v>701</v>
      </c>
      <c r="E60" s="124" t="s">
        <v>707</v>
      </c>
      <c r="F60" s="63"/>
      <c r="G60" s="124"/>
      <c r="H60" s="125"/>
      <c r="I60" s="102"/>
      <c r="J60" s="102"/>
      <c r="K60" s="102"/>
      <c r="L60" s="102"/>
      <c r="M60" s="102"/>
      <c r="N60" s="102"/>
      <c r="O60" s="102"/>
      <c r="P60" s="102"/>
      <c r="Q60" s="64" t="s">
        <v>263</v>
      </c>
      <c r="R60" s="121"/>
      <c r="S60" s="122"/>
      <c r="T60" s="123" t="s">
        <v>701</v>
      </c>
      <c r="U60" s="124" t="s">
        <v>707</v>
      </c>
      <c r="V60" s="63"/>
      <c r="W60" s="124"/>
      <c r="X60" s="125"/>
      <c r="Y60" s="102"/>
      <c r="Z60" s="102"/>
      <c r="AA60" s="102"/>
      <c r="AB60" s="102"/>
      <c r="AC60" s="102"/>
      <c r="AD60" s="102">
        <f t="shared" si="16"/>
        <v>0</v>
      </c>
    </row>
    <row r="61" spans="1:30" s="62" customFormat="1" ht="15" thickBot="1">
      <c r="A61" s="64" t="s">
        <v>164</v>
      </c>
      <c r="B61" s="121"/>
      <c r="C61" s="122"/>
      <c r="D61" s="123" t="s">
        <v>702</v>
      </c>
      <c r="E61" s="126" t="s">
        <v>711</v>
      </c>
      <c r="F61" s="101"/>
      <c r="G61" s="126"/>
      <c r="H61" s="127"/>
      <c r="I61" s="103"/>
      <c r="J61" s="103"/>
      <c r="K61" s="103"/>
      <c r="L61" s="103"/>
      <c r="M61" s="103"/>
      <c r="N61" s="103"/>
      <c r="O61" s="103"/>
      <c r="P61" s="103"/>
      <c r="Q61" s="64" t="s">
        <v>264</v>
      </c>
      <c r="R61" s="121"/>
      <c r="S61" s="122"/>
      <c r="T61" s="123" t="s">
        <v>702</v>
      </c>
      <c r="U61" s="126" t="s">
        <v>711</v>
      </c>
      <c r="V61" s="101"/>
      <c r="W61" s="126"/>
      <c r="X61" s="127"/>
      <c r="Y61" s="103"/>
      <c r="Z61" s="103"/>
      <c r="AA61" s="103"/>
      <c r="AB61" s="103"/>
      <c r="AC61" s="103"/>
      <c r="AD61" s="103">
        <f t="shared" si="16"/>
        <v>0</v>
      </c>
    </row>
    <row r="62" spans="1:30" s="62" customFormat="1" ht="15" thickBot="1">
      <c r="A62" s="64" t="s">
        <v>165</v>
      </c>
      <c r="B62" s="121"/>
      <c r="C62" s="122"/>
      <c r="D62" s="123" t="s">
        <v>705</v>
      </c>
      <c r="E62" s="124" t="s">
        <v>709</v>
      </c>
      <c r="F62" s="63"/>
      <c r="G62" s="124"/>
      <c r="H62" s="125"/>
      <c r="I62" s="102"/>
      <c r="J62" s="102"/>
      <c r="K62" s="102"/>
      <c r="L62" s="102"/>
      <c r="M62" s="102"/>
      <c r="N62" s="102"/>
      <c r="O62" s="102"/>
      <c r="P62" s="102"/>
      <c r="Q62" s="64" t="s">
        <v>265</v>
      </c>
      <c r="R62" s="121"/>
      <c r="S62" s="122"/>
      <c r="T62" s="123" t="s">
        <v>705</v>
      </c>
      <c r="U62" s="124" t="s">
        <v>709</v>
      </c>
      <c r="V62" s="63"/>
      <c r="W62" s="124"/>
      <c r="X62" s="125"/>
      <c r="Y62" s="102"/>
      <c r="Z62" s="102"/>
      <c r="AA62" s="102"/>
      <c r="AB62" s="102"/>
      <c r="AC62" s="102"/>
      <c r="AD62" s="102">
        <f t="shared" si="16"/>
        <v>0</v>
      </c>
    </row>
    <row r="63" spans="1:30" s="62" customFormat="1" ht="15" thickBot="1">
      <c r="A63" s="64" t="s">
        <v>166</v>
      </c>
      <c r="B63" s="121"/>
      <c r="C63" s="122"/>
      <c r="D63" s="123" t="s">
        <v>706</v>
      </c>
      <c r="E63" s="124" t="s">
        <v>117</v>
      </c>
      <c r="F63" s="63"/>
      <c r="G63" s="124"/>
      <c r="H63" s="125"/>
      <c r="I63" s="102"/>
      <c r="J63" s="102"/>
      <c r="K63" s="102"/>
      <c r="L63" s="102"/>
      <c r="M63" s="102"/>
      <c r="N63" s="102"/>
      <c r="O63" s="102"/>
      <c r="P63" s="102"/>
      <c r="Q63" s="64" t="s">
        <v>266</v>
      </c>
      <c r="R63" s="121"/>
      <c r="S63" s="122"/>
      <c r="T63" s="123" t="s">
        <v>706</v>
      </c>
      <c r="U63" s="124" t="s">
        <v>117</v>
      </c>
      <c r="V63" s="63"/>
      <c r="W63" s="124"/>
      <c r="X63" s="125"/>
      <c r="Y63" s="102"/>
      <c r="Z63" s="102"/>
      <c r="AA63" s="102"/>
      <c r="AB63" s="102"/>
      <c r="AC63" s="102"/>
      <c r="AD63" s="102">
        <f t="shared" si="16"/>
        <v>0</v>
      </c>
    </row>
    <row r="64" spans="1:30" s="157" customFormat="1" ht="16.5" thickBot="1">
      <c r="A64" s="64" t="s">
        <v>167</v>
      </c>
      <c r="B64" s="154" t="s">
        <v>107</v>
      </c>
      <c r="C64" s="155" t="s">
        <v>116</v>
      </c>
      <c r="D64" s="170"/>
      <c r="E64" s="170"/>
      <c r="F64" s="155"/>
      <c r="G64" s="155"/>
      <c r="H64" s="155"/>
      <c r="I64" s="156">
        <f>SUM(I65:I67)</f>
        <v>15574</v>
      </c>
      <c r="J64" s="156">
        <f aca="true" t="shared" si="18" ref="J64:P64">SUM(J65:J67)</f>
        <v>2655</v>
      </c>
      <c r="K64" s="156">
        <f t="shared" si="18"/>
        <v>0</v>
      </c>
      <c r="L64" s="156">
        <f>SUM(L65:L67)</f>
        <v>0</v>
      </c>
      <c r="M64" s="156">
        <f t="shared" si="18"/>
        <v>0</v>
      </c>
      <c r="N64" s="156">
        <f t="shared" si="18"/>
        <v>0</v>
      </c>
      <c r="O64" s="156">
        <f>SUM(O65:O67)</f>
        <v>2000</v>
      </c>
      <c r="P64" s="156">
        <f t="shared" si="18"/>
        <v>0</v>
      </c>
      <c r="Q64" s="64" t="s">
        <v>267</v>
      </c>
      <c r="R64" s="154" t="s">
        <v>107</v>
      </c>
      <c r="S64" s="155" t="s">
        <v>116</v>
      </c>
      <c r="T64" s="170"/>
      <c r="U64" s="170"/>
      <c r="V64" s="155"/>
      <c r="W64" s="155"/>
      <c r="X64" s="155"/>
      <c r="Y64" s="156">
        <f>SUM(Y65:Y67)</f>
        <v>0</v>
      </c>
      <c r="Z64" s="156">
        <f>SUM(Z65:Z67)</f>
        <v>0</v>
      </c>
      <c r="AA64" s="156">
        <f>SUM(AA65:AA67)</f>
        <v>0</v>
      </c>
      <c r="AB64" s="156">
        <f>SUM(AB65:AB67)</f>
        <v>0</v>
      </c>
      <c r="AC64" s="156">
        <f>SUM(AC65:AC67)</f>
        <v>0</v>
      </c>
      <c r="AD64" s="238">
        <f t="shared" si="16"/>
        <v>20229</v>
      </c>
    </row>
    <row r="65" spans="1:30" s="157" customFormat="1" ht="16.5" thickBot="1">
      <c r="A65" s="64" t="s">
        <v>168</v>
      </c>
      <c r="B65" s="158"/>
      <c r="C65" s="159" t="s">
        <v>109</v>
      </c>
      <c r="D65" s="160" t="s">
        <v>578</v>
      </c>
      <c r="E65" s="160"/>
      <c r="F65" s="160"/>
      <c r="G65" s="160"/>
      <c r="H65" s="161"/>
      <c r="I65" s="162">
        <v>15574</v>
      </c>
      <c r="J65" s="162">
        <f>Javaslat!N437</f>
        <v>2655</v>
      </c>
      <c r="K65" s="162"/>
      <c r="L65" s="162"/>
      <c r="M65" s="162"/>
      <c r="N65" s="162"/>
      <c r="O65" s="162">
        <v>2000</v>
      </c>
      <c r="P65" s="162"/>
      <c r="Q65" s="64" t="s">
        <v>268</v>
      </c>
      <c r="R65" s="158"/>
      <c r="S65" s="159" t="s">
        <v>109</v>
      </c>
      <c r="T65" s="160" t="s">
        <v>578</v>
      </c>
      <c r="U65" s="160"/>
      <c r="V65" s="160"/>
      <c r="W65" s="160"/>
      <c r="X65" s="161"/>
      <c r="Y65" s="162"/>
      <c r="Z65" s="162"/>
      <c r="AA65" s="162"/>
      <c r="AB65" s="162"/>
      <c r="AC65" s="162"/>
      <c r="AD65" s="239">
        <f t="shared" si="16"/>
        <v>20229</v>
      </c>
    </row>
    <row r="66" spans="1:30" s="157" customFormat="1" ht="16.5" thickBot="1">
      <c r="A66" s="64" t="s">
        <v>169</v>
      </c>
      <c r="B66" s="158"/>
      <c r="C66" s="159" t="s">
        <v>110</v>
      </c>
      <c r="D66" s="163" t="s">
        <v>579</v>
      </c>
      <c r="E66" s="163"/>
      <c r="F66" s="163"/>
      <c r="G66" s="163"/>
      <c r="H66" s="165"/>
      <c r="I66" s="166"/>
      <c r="J66" s="166"/>
      <c r="K66" s="166"/>
      <c r="L66" s="166"/>
      <c r="M66" s="166"/>
      <c r="N66" s="166"/>
      <c r="O66" s="166"/>
      <c r="P66" s="166"/>
      <c r="Q66" s="64" t="s">
        <v>269</v>
      </c>
      <c r="R66" s="158"/>
      <c r="S66" s="159" t="s">
        <v>110</v>
      </c>
      <c r="T66" s="163" t="s">
        <v>579</v>
      </c>
      <c r="U66" s="163"/>
      <c r="V66" s="163"/>
      <c r="W66" s="163"/>
      <c r="X66" s="165"/>
      <c r="Y66" s="166"/>
      <c r="Z66" s="166"/>
      <c r="AA66" s="166"/>
      <c r="AB66" s="166"/>
      <c r="AC66" s="166"/>
      <c r="AD66" s="58">
        <f t="shared" si="16"/>
        <v>0</v>
      </c>
    </row>
    <row r="67" spans="1:30" s="157" customFormat="1" ht="16.5" thickBot="1">
      <c r="A67" s="64" t="s">
        <v>170</v>
      </c>
      <c r="B67" s="158"/>
      <c r="C67" s="159" t="s">
        <v>111</v>
      </c>
      <c r="D67" s="163" t="s">
        <v>580</v>
      </c>
      <c r="E67" s="164"/>
      <c r="F67" s="163"/>
      <c r="G67" s="163"/>
      <c r="H67" s="165"/>
      <c r="I67" s="166">
        <f>SUM(I68:I71)</f>
        <v>0</v>
      </c>
      <c r="J67" s="166">
        <f aca="true" t="shared" si="19" ref="J67:P67">SUM(J68:J71)</f>
        <v>0</v>
      </c>
      <c r="K67" s="166">
        <f t="shared" si="19"/>
        <v>0</v>
      </c>
      <c r="L67" s="166">
        <f>SUM(L68:L71)</f>
        <v>0</v>
      </c>
      <c r="M67" s="166">
        <f t="shared" si="19"/>
        <v>0</v>
      </c>
      <c r="N67" s="166">
        <f t="shared" si="19"/>
        <v>0</v>
      </c>
      <c r="O67" s="166">
        <f>SUM(O68:O71)</f>
        <v>0</v>
      </c>
      <c r="P67" s="166">
        <f t="shared" si="19"/>
        <v>0</v>
      </c>
      <c r="Q67" s="64" t="s">
        <v>270</v>
      </c>
      <c r="R67" s="158"/>
      <c r="S67" s="159" t="s">
        <v>111</v>
      </c>
      <c r="T67" s="163" t="s">
        <v>580</v>
      </c>
      <c r="U67" s="164"/>
      <c r="V67" s="163"/>
      <c r="W67" s="163"/>
      <c r="X67" s="165"/>
      <c r="Y67" s="166">
        <f>SUM(Y68:Y71)</f>
        <v>0</v>
      </c>
      <c r="Z67" s="166">
        <f>SUM(Z68:Z71)</f>
        <v>0</v>
      </c>
      <c r="AA67" s="166">
        <f>SUM(AA68:AA71)</f>
        <v>0</v>
      </c>
      <c r="AB67" s="166">
        <f>SUM(AB68:AB71)</f>
        <v>0</v>
      </c>
      <c r="AC67" s="166">
        <f>SUM(AC68:AC71)</f>
        <v>0</v>
      </c>
      <c r="AD67" s="58">
        <f t="shared" si="16"/>
        <v>0</v>
      </c>
    </row>
    <row r="68" spans="1:30" s="62" customFormat="1" ht="15" thickBot="1">
      <c r="A68" s="64" t="s">
        <v>171</v>
      </c>
      <c r="B68" s="121"/>
      <c r="C68" s="128"/>
      <c r="D68" s="123" t="s">
        <v>712</v>
      </c>
      <c r="E68" s="124" t="s">
        <v>713</v>
      </c>
      <c r="F68" s="124"/>
      <c r="G68" s="124"/>
      <c r="H68" s="125"/>
      <c r="I68" s="102"/>
      <c r="J68" s="102"/>
      <c r="K68" s="102"/>
      <c r="L68" s="102"/>
      <c r="M68" s="102"/>
      <c r="N68" s="102"/>
      <c r="O68" s="102"/>
      <c r="P68" s="102"/>
      <c r="Q68" s="64" t="s">
        <v>271</v>
      </c>
      <c r="R68" s="121"/>
      <c r="S68" s="128"/>
      <c r="T68" s="123" t="s">
        <v>712</v>
      </c>
      <c r="U68" s="124" t="s">
        <v>713</v>
      </c>
      <c r="V68" s="124"/>
      <c r="W68" s="124"/>
      <c r="X68" s="125"/>
      <c r="Y68" s="102"/>
      <c r="Z68" s="102"/>
      <c r="AA68" s="102"/>
      <c r="AB68" s="102"/>
      <c r="AC68" s="102"/>
      <c r="AD68" s="102">
        <f t="shared" si="16"/>
        <v>0</v>
      </c>
    </row>
    <row r="69" spans="1:30" s="62" customFormat="1" ht="15" thickBot="1">
      <c r="A69" s="64" t="s">
        <v>172</v>
      </c>
      <c r="B69" s="121"/>
      <c r="C69" s="128"/>
      <c r="D69" s="123" t="s">
        <v>714</v>
      </c>
      <c r="E69" s="124" t="s">
        <v>581</v>
      </c>
      <c r="F69" s="124"/>
      <c r="G69" s="124"/>
      <c r="H69" s="125"/>
      <c r="I69" s="102"/>
      <c r="J69" s="102"/>
      <c r="K69" s="102"/>
      <c r="L69" s="102"/>
      <c r="M69" s="102"/>
      <c r="N69" s="102"/>
      <c r="O69" s="102"/>
      <c r="P69" s="102"/>
      <c r="Q69" s="64" t="s">
        <v>272</v>
      </c>
      <c r="R69" s="121"/>
      <c r="S69" s="128"/>
      <c r="T69" s="123" t="s">
        <v>714</v>
      </c>
      <c r="U69" s="124" t="s">
        <v>581</v>
      </c>
      <c r="V69" s="124"/>
      <c r="W69" s="124"/>
      <c r="X69" s="125"/>
      <c r="Y69" s="102"/>
      <c r="Z69" s="102"/>
      <c r="AA69" s="102"/>
      <c r="AB69" s="102"/>
      <c r="AC69" s="102"/>
      <c r="AD69" s="102">
        <f t="shared" si="16"/>
        <v>0</v>
      </c>
    </row>
    <row r="70" spans="1:30" s="62" customFormat="1" ht="15" thickBot="1">
      <c r="A70" s="64" t="s">
        <v>173</v>
      </c>
      <c r="B70" s="121"/>
      <c r="C70" s="128"/>
      <c r="D70" s="123" t="s">
        <v>715</v>
      </c>
      <c r="E70" s="124" t="s">
        <v>716</v>
      </c>
      <c r="F70" s="63"/>
      <c r="G70" s="124"/>
      <c r="H70" s="125"/>
      <c r="I70" s="102"/>
      <c r="J70" s="102"/>
      <c r="K70" s="102"/>
      <c r="L70" s="102"/>
      <c r="M70" s="102"/>
      <c r="N70" s="102"/>
      <c r="O70" s="102"/>
      <c r="P70" s="102"/>
      <c r="Q70" s="64" t="s">
        <v>273</v>
      </c>
      <c r="R70" s="121"/>
      <c r="S70" s="128"/>
      <c r="T70" s="123" t="s">
        <v>715</v>
      </c>
      <c r="U70" s="124" t="s">
        <v>716</v>
      </c>
      <c r="V70" s="63"/>
      <c r="W70" s="124"/>
      <c r="X70" s="125"/>
      <c r="Y70" s="102"/>
      <c r="Z70" s="102"/>
      <c r="AA70" s="102"/>
      <c r="AB70" s="102"/>
      <c r="AC70" s="102"/>
      <c r="AD70" s="102">
        <f t="shared" si="16"/>
        <v>0</v>
      </c>
    </row>
    <row r="71" spans="1:30" s="62" customFormat="1" ht="15" thickBot="1">
      <c r="A71" s="64" t="s">
        <v>174</v>
      </c>
      <c r="B71" s="121"/>
      <c r="C71" s="128"/>
      <c r="D71" s="123" t="s">
        <v>717</v>
      </c>
      <c r="E71" s="124" t="s">
        <v>582</v>
      </c>
      <c r="F71" s="63"/>
      <c r="G71" s="124"/>
      <c r="H71" s="125"/>
      <c r="I71" s="103"/>
      <c r="J71" s="103"/>
      <c r="K71" s="103"/>
      <c r="L71" s="103"/>
      <c r="M71" s="103"/>
      <c r="N71" s="103"/>
      <c r="O71" s="103"/>
      <c r="P71" s="103"/>
      <c r="Q71" s="64" t="s">
        <v>274</v>
      </c>
      <c r="R71" s="121"/>
      <c r="S71" s="128"/>
      <c r="T71" s="123" t="s">
        <v>717</v>
      </c>
      <c r="U71" s="124" t="s">
        <v>582</v>
      </c>
      <c r="V71" s="63"/>
      <c r="W71" s="124"/>
      <c r="X71" s="125"/>
      <c r="Y71" s="103"/>
      <c r="Z71" s="103"/>
      <c r="AA71" s="103"/>
      <c r="AB71" s="103"/>
      <c r="AC71" s="103"/>
      <c r="AD71" s="103">
        <f t="shared" si="16"/>
        <v>0</v>
      </c>
    </row>
    <row r="72" spans="1:30" s="150" customFormat="1" ht="30" customHeight="1" thickBot="1">
      <c r="A72" s="64" t="s">
        <v>175</v>
      </c>
      <c r="B72" s="186" t="s">
        <v>947</v>
      </c>
      <c r="C72" s="171"/>
      <c r="D72" s="172"/>
      <c r="E72" s="172"/>
      <c r="F72" s="172"/>
      <c r="G72" s="172"/>
      <c r="H72" s="172"/>
      <c r="I72" s="147">
        <f>SUM(I53,I64)</f>
        <v>393824</v>
      </c>
      <c r="J72" s="147">
        <f aca="true" t="shared" si="20" ref="J72:P72">SUM(J53,J64)</f>
        <v>12255</v>
      </c>
      <c r="K72" s="147">
        <f t="shared" si="20"/>
        <v>0</v>
      </c>
      <c r="L72" s="147">
        <f>SUM(L53,L64)</f>
        <v>10546</v>
      </c>
      <c r="M72" s="147">
        <f t="shared" si="20"/>
        <v>2607</v>
      </c>
      <c r="N72" s="147">
        <f t="shared" si="20"/>
        <v>33081</v>
      </c>
      <c r="O72" s="147">
        <f>SUM(O53,O64)</f>
        <v>2000</v>
      </c>
      <c r="P72" s="147">
        <f t="shared" si="20"/>
        <v>180</v>
      </c>
      <c r="Q72" s="64" t="s">
        <v>275</v>
      </c>
      <c r="R72" s="186" t="s">
        <v>594</v>
      </c>
      <c r="S72" s="171"/>
      <c r="T72" s="172"/>
      <c r="U72" s="172"/>
      <c r="V72" s="172"/>
      <c r="W72" s="172"/>
      <c r="X72" s="172"/>
      <c r="Y72" s="147">
        <f>SUM(Y53,Y64)</f>
        <v>965</v>
      </c>
      <c r="Z72" s="147">
        <f>SUM(Z53,Z64)</f>
        <v>4009</v>
      </c>
      <c r="AA72" s="147">
        <f>SUM(AA53,AA64)</f>
        <v>3646</v>
      </c>
      <c r="AB72" s="147">
        <f>SUM(AB53,AB64)</f>
        <v>52839</v>
      </c>
      <c r="AC72" s="147">
        <f>SUM(AC53,AC64)</f>
        <v>15840</v>
      </c>
      <c r="AD72" s="237">
        <f t="shared" si="16"/>
        <v>531792</v>
      </c>
    </row>
    <row r="73" spans="1:30" s="157" customFormat="1" ht="16.5" thickBot="1">
      <c r="A73" s="64" t="s">
        <v>176</v>
      </c>
      <c r="B73" s="154" t="s">
        <v>112</v>
      </c>
      <c r="C73" s="155" t="s">
        <v>583</v>
      </c>
      <c r="D73" s="155"/>
      <c r="E73" s="155"/>
      <c r="F73" s="155"/>
      <c r="G73" s="155"/>
      <c r="H73" s="155"/>
      <c r="I73" s="156">
        <f>SUM(I74,I76)</f>
        <v>0</v>
      </c>
      <c r="J73" s="156">
        <f aca="true" t="shared" si="21" ref="J73:P73">SUM(J74,J76)</f>
        <v>0</v>
      </c>
      <c r="K73" s="156">
        <f t="shared" si="21"/>
        <v>0</v>
      </c>
      <c r="L73" s="156">
        <f>SUM(L74,L76)</f>
        <v>0</v>
      </c>
      <c r="M73" s="156">
        <f t="shared" si="21"/>
        <v>0</v>
      </c>
      <c r="N73" s="156">
        <f t="shared" si="21"/>
        <v>0</v>
      </c>
      <c r="O73" s="156">
        <f>SUM(O74,O76)</f>
        <v>0</v>
      </c>
      <c r="P73" s="156">
        <f t="shared" si="21"/>
        <v>0</v>
      </c>
      <c r="Q73" s="64" t="s">
        <v>276</v>
      </c>
      <c r="R73" s="154" t="s">
        <v>112</v>
      </c>
      <c r="S73" s="155" t="s">
        <v>583</v>
      </c>
      <c r="T73" s="155"/>
      <c r="U73" s="155"/>
      <c r="V73" s="155"/>
      <c r="W73" s="155"/>
      <c r="X73" s="155"/>
      <c r="Y73" s="156">
        <f>SUM(Y74,Y76)</f>
        <v>0</v>
      </c>
      <c r="Z73" s="156">
        <f>SUM(Z74,Z76)</f>
        <v>0</v>
      </c>
      <c r="AA73" s="156"/>
      <c r="AB73" s="156"/>
      <c r="AC73" s="156"/>
      <c r="AD73" s="238">
        <f t="shared" si="16"/>
        <v>0</v>
      </c>
    </row>
    <row r="74" spans="1:30" s="157" customFormat="1" ht="16.5" thickBot="1">
      <c r="A74" s="64" t="s">
        <v>177</v>
      </c>
      <c r="B74" s="158"/>
      <c r="C74" s="173" t="s">
        <v>113</v>
      </c>
      <c r="D74" s="174" t="s">
        <v>587</v>
      </c>
      <c r="E74" s="174"/>
      <c r="F74" s="174"/>
      <c r="G74" s="174"/>
      <c r="H74" s="175"/>
      <c r="I74" s="194">
        <f>SUM(I75)</f>
        <v>0</v>
      </c>
      <c r="J74" s="194">
        <f aca="true" t="shared" si="22" ref="J74:P74">SUM(J75)</f>
        <v>0</v>
      </c>
      <c r="K74" s="194">
        <f t="shared" si="22"/>
        <v>0</v>
      </c>
      <c r="L74" s="194">
        <f t="shared" si="22"/>
        <v>0</v>
      </c>
      <c r="M74" s="194">
        <f t="shared" si="22"/>
        <v>0</v>
      </c>
      <c r="N74" s="194">
        <f t="shared" si="22"/>
        <v>0</v>
      </c>
      <c r="O74" s="194">
        <f t="shared" si="22"/>
        <v>0</v>
      </c>
      <c r="P74" s="194">
        <f t="shared" si="22"/>
        <v>0</v>
      </c>
      <c r="Q74" s="64" t="s">
        <v>277</v>
      </c>
      <c r="R74" s="158"/>
      <c r="S74" s="173" t="s">
        <v>113</v>
      </c>
      <c r="T74" s="174" t="s">
        <v>587</v>
      </c>
      <c r="U74" s="174"/>
      <c r="V74" s="174"/>
      <c r="W74" s="174"/>
      <c r="X74" s="175"/>
      <c r="Y74" s="194">
        <f>SUM(Y75)</f>
        <v>0</v>
      </c>
      <c r="Z74" s="194"/>
      <c r="AA74" s="194"/>
      <c r="AB74" s="194"/>
      <c r="AC74" s="194"/>
      <c r="AD74" s="240">
        <f t="shared" si="16"/>
        <v>0</v>
      </c>
    </row>
    <row r="75" spans="1:30" s="110" customFormat="1" ht="15" customHeight="1" thickBot="1">
      <c r="A75" s="64" t="s">
        <v>178</v>
      </c>
      <c r="B75" s="109"/>
      <c r="C75" s="95"/>
      <c r="D75" s="129" t="s">
        <v>698</v>
      </c>
      <c r="E75" s="107" t="s">
        <v>718</v>
      </c>
      <c r="F75" s="107"/>
      <c r="G75" s="107"/>
      <c r="H75" s="107"/>
      <c r="I75" s="108"/>
      <c r="J75" s="206"/>
      <c r="K75" s="206"/>
      <c r="L75" s="206"/>
      <c r="M75" s="206"/>
      <c r="N75" s="206"/>
      <c r="O75" s="206"/>
      <c r="P75" s="206"/>
      <c r="Q75" s="64" t="s">
        <v>278</v>
      </c>
      <c r="R75" s="109"/>
      <c r="S75" s="95"/>
      <c r="T75" s="129" t="s">
        <v>698</v>
      </c>
      <c r="U75" s="107" t="s">
        <v>718</v>
      </c>
      <c r="V75" s="107"/>
      <c r="W75" s="107"/>
      <c r="X75" s="214"/>
      <c r="Y75" s="206"/>
      <c r="Z75" s="206"/>
      <c r="AA75" s="206"/>
      <c r="AB75" s="206"/>
      <c r="AC75" s="206"/>
      <c r="AD75" s="206">
        <f t="shared" si="16"/>
        <v>0</v>
      </c>
    </row>
    <row r="76" spans="1:30" s="134" customFormat="1" ht="15" customHeight="1" thickBot="1">
      <c r="A76" s="64" t="s">
        <v>179</v>
      </c>
      <c r="B76" s="195"/>
      <c r="C76" s="196" t="s">
        <v>588</v>
      </c>
      <c r="D76" s="197" t="s">
        <v>593</v>
      </c>
      <c r="E76" s="198"/>
      <c r="F76" s="198"/>
      <c r="G76" s="198"/>
      <c r="H76" s="198"/>
      <c r="I76" s="199"/>
      <c r="J76" s="211"/>
      <c r="K76" s="211"/>
      <c r="L76" s="211"/>
      <c r="M76" s="211"/>
      <c r="N76" s="211"/>
      <c r="O76" s="211"/>
      <c r="P76" s="211"/>
      <c r="Q76" s="64" t="s">
        <v>279</v>
      </c>
      <c r="R76" s="195"/>
      <c r="S76" s="196" t="s">
        <v>588</v>
      </c>
      <c r="T76" s="197" t="s">
        <v>593</v>
      </c>
      <c r="U76" s="198"/>
      <c r="V76" s="198"/>
      <c r="W76" s="198"/>
      <c r="X76" s="222"/>
      <c r="Y76" s="211"/>
      <c r="Z76" s="211"/>
      <c r="AA76" s="211"/>
      <c r="AB76" s="211"/>
      <c r="AC76" s="211"/>
      <c r="AD76" s="241">
        <f t="shared" si="16"/>
        <v>0</v>
      </c>
    </row>
    <row r="77" spans="1:30" s="157" customFormat="1" ht="16.5" thickBot="1">
      <c r="A77" s="64" t="s">
        <v>180</v>
      </c>
      <c r="B77" s="154" t="s">
        <v>584</v>
      </c>
      <c r="C77" s="155" t="s">
        <v>118</v>
      </c>
      <c r="D77" s="170"/>
      <c r="E77" s="170"/>
      <c r="F77" s="155"/>
      <c r="G77" s="155"/>
      <c r="H77" s="176"/>
      <c r="I77" s="156"/>
      <c r="J77" s="156"/>
      <c r="K77" s="156"/>
      <c r="L77" s="156"/>
      <c r="M77" s="156"/>
      <c r="N77" s="156"/>
      <c r="O77" s="156"/>
      <c r="P77" s="156"/>
      <c r="Q77" s="64" t="s">
        <v>280</v>
      </c>
      <c r="R77" s="154" t="s">
        <v>584</v>
      </c>
      <c r="S77" s="155" t="s">
        <v>118</v>
      </c>
      <c r="T77" s="170"/>
      <c r="U77" s="170"/>
      <c r="V77" s="155"/>
      <c r="W77" s="155"/>
      <c r="X77" s="176"/>
      <c r="Y77" s="156"/>
      <c r="Z77" s="156"/>
      <c r="AA77" s="156"/>
      <c r="AB77" s="156"/>
      <c r="AC77" s="156"/>
      <c r="AD77" s="238">
        <f t="shared" si="16"/>
        <v>0</v>
      </c>
    </row>
    <row r="78" spans="1:30" s="150" customFormat="1" ht="30" customHeight="1" thickBot="1">
      <c r="A78" s="64" t="s">
        <v>181</v>
      </c>
      <c r="B78" s="177" t="s">
        <v>948</v>
      </c>
      <c r="C78" s="178"/>
      <c r="D78" s="179"/>
      <c r="E78" s="179"/>
      <c r="F78" s="179"/>
      <c r="G78" s="179"/>
      <c r="H78" s="179"/>
      <c r="I78" s="180">
        <f>SUM(I72,I73,I77)</f>
        <v>393824</v>
      </c>
      <c r="J78" s="180">
        <f aca="true" t="shared" si="23" ref="J78:P78">SUM(J72,J73,J77)</f>
        <v>12255</v>
      </c>
      <c r="K78" s="180">
        <f t="shared" si="23"/>
        <v>0</v>
      </c>
      <c r="L78" s="180">
        <f>SUM(L72,L73,L77)</f>
        <v>10546</v>
      </c>
      <c r="M78" s="180">
        <f t="shared" si="23"/>
        <v>2607</v>
      </c>
      <c r="N78" s="180">
        <f t="shared" si="23"/>
        <v>33081</v>
      </c>
      <c r="O78" s="180">
        <f>SUM(O72,O73,O77)</f>
        <v>2000</v>
      </c>
      <c r="P78" s="180">
        <f t="shared" si="23"/>
        <v>180</v>
      </c>
      <c r="Q78" s="64" t="s">
        <v>281</v>
      </c>
      <c r="R78" s="177" t="s">
        <v>595</v>
      </c>
      <c r="S78" s="178"/>
      <c r="T78" s="179"/>
      <c r="U78" s="179"/>
      <c r="V78" s="179"/>
      <c r="W78" s="179"/>
      <c r="X78" s="179"/>
      <c r="Y78" s="180">
        <f>SUM(Y72,Y73,Y77)</f>
        <v>965</v>
      </c>
      <c r="Z78" s="180">
        <f>SUM(Z72,Z73,Z77)</f>
        <v>4009</v>
      </c>
      <c r="AA78" s="180">
        <f>SUM(AA72,AA73,AA77)</f>
        <v>3646</v>
      </c>
      <c r="AB78" s="180">
        <f>SUM(AB72,AB73,AB77)</f>
        <v>52839</v>
      </c>
      <c r="AC78" s="180">
        <f>SUM(AC72,AC73,AC77)</f>
        <v>15840</v>
      </c>
      <c r="AD78" s="242">
        <f t="shared" si="16"/>
        <v>531792</v>
      </c>
    </row>
  </sheetData>
  <sheetProtection/>
  <mergeCells count="16">
    <mergeCell ref="E4:H4"/>
    <mergeCell ref="U4:X4"/>
    <mergeCell ref="S42:X42"/>
    <mergeCell ref="B41:H41"/>
    <mergeCell ref="E9:H9"/>
    <mergeCell ref="B6:H6"/>
    <mergeCell ref="R6:X6"/>
    <mergeCell ref="U9:X9"/>
    <mergeCell ref="R41:X41"/>
    <mergeCell ref="B52:H52"/>
    <mergeCell ref="B50:H50"/>
    <mergeCell ref="C42:H42"/>
    <mergeCell ref="B5:P5"/>
    <mergeCell ref="R5:AD5"/>
    <mergeCell ref="R50:X50"/>
    <mergeCell ref="R52:X52"/>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1" manualBreakCount="1">
    <brk id="16" max="100" man="1"/>
  </colBreaks>
</worksheet>
</file>

<file path=xl/worksheets/sheet9.xml><?xml version="1.0" encoding="utf-8"?>
<worksheet xmlns="http://schemas.openxmlformats.org/spreadsheetml/2006/main" xmlns:r="http://schemas.openxmlformats.org/officeDocument/2006/relationships">
  <dimension ref="A1:S78"/>
  <sheetViews>
    <sheetView view="pageBreakPreview" zoomScaleSheetLayoutView="100" zoomScalePageLayoutView="0" workbookViewId="0" topLeftCell="A1">
      <selection activeCell="O2" sqref="O2"/>
    </sheetView>
  </sheetViews>
  <sheetFormatPr defaultColWidth="9.140625" defaultRowHeight="15"/>
  <cols>
    <col min="1" max="1" width="4.421875" style="67" customWidth="1"/>
    <col min="2" max="2" width="4.140625" style="61" customWidth="1"/>
    <col min="3" max="3" width="5.7109375" style="61" customWidth="1"/>
    <col min="4" max="5" width="8.7109375" style="61" customWidth="1"/>
    <col min="6" max="7" width="10.7109375" style="61" customWidth="1"/>
    <col min="8" max="8" width="78.7109375" style="61" customWidth="1"/>
    <col min="9" max="14" width="15.7109375" style="61" customWidth="1"/>
    <col min="15" max="15" width="20.7109375" style="61" customWidth="1"/>
    <col min="16" max="16384" width="9.140625" style="61" customWidth="1"/>
  </cols>
  <sheetData>
    <row r="1" ht="15" customHeight="1">
      <c r="O1" s="60" t="s">
        <v>1401</v>
      </c>
    </row>
    <row r="2" ht="15" customHeight="1"/>
    <row r="3" ht="15" customHeight="1" thickBot="1">
      <c r="O3" s="60" t="s">
        <v>8</v>
      </c>
    </row>
    <row r="4" spans="1:15" s="65" customFormat="1" ht="15" customHeight="1" thickBot="1">
      <c r="A4" s="64"/>
      <c r="B4" s="66" t="s">
        <v>9</v>
      </c>
      <c r="C4" s="66" t="s">
        <v>10</v>
      </c>
      <c r="D4" s="66" t="s">
        <v>11</v>
      </c>
      <c r="E4" s="338" t="s">
        <v>12</v>
      </c>
      <c r="F4" s="339"/>
      <c r="G4" s="339"/>
      <c r="H4" s="340"/>
      <c r="I4" s="66" t="s">
        <v>13</v>
      </c>
      <c r="J4" s="66" t="s">
        <v>124</v>
      </c>
      <c r="K4" s="66" t="s">
        <v>125</v>
      </c>
      <c r="L4" s="66" t="s">
        <v>126</v>
      </c>
      <c r="M4" s="66" t="s">
        <v>127</v>
      </c>
      <c r="N4" s="66" t="s">
        <v>128</v>
      </c>
      <c r="O4" s="231" t="s">
        <v>129</v>
      </c>
    </row>
    <row r="5" spans="1:19" ht="42" customHeight="1" thickBot="1">
      <c r="A5" s="64" t="s">
        <v>20</v>
      </c>
      <c r="B5" s="375" t="s">
        <v>949</v>
      </c>
      <c r="C5" s="376"/>
      <c r="D5" s="376"/>
      <c r="E5" s="376"/>
      <c r="F5" s="376"/>
      <c r="G5" s="376"/>
      <c r="H5" s="376"/>
      <c r="I5" s="376"/>
      <c r="J5" s="376"/>
      <c r="K5" s="376"/>
      <c r="L5" s="376"/>
      <c r="M5" s="376"/>
      <c r="N5" s="376"/>
      <c r="O5" s="203"/>
      <c r="P5" s="230"/>
      <c r="Q5" s="230"/>
      <c r="R5" s="230"/>
      <c r="S5" s="230"/>
    </row>
    <row r="6" spans="1:15" ht="60.75" thickBot="1">
      <c r="A6" s="64" t="s">
        <v>21</v>
      </c>
      <c r="B6" s="353" t="s">
        <v>123</v>
      </c>
      <c r="C6" s="353"/>
      <c r="D6" s="353"/>
      <c r="E6" s="353"/>
      <c r="F6" s="353"/>
      <c r="G6" s="353"/>
      <c r="H6" s="353"/>
      <c r="I6" s="105" t="s">
        <v>869</v>
      </c>
      <c r="J6" s="105" t="s">
        <v>93</v>
      </c>
      <c r="K6" s="105" t="s">
        <v>94</v>
      </c>
      <c r="L6" s="105" t="s">
        <v>95</v>
      </c>
      <c r="M6" s="105" t="s">
        <v>96</v>
      </c>
      <c r="N6" s="105" t="s">
        <v>97</v>
      </c>
      <c r="O6" s="105" t="s">
        <v>131</v>
      </c>
    </row>
    <row r="7" spans="1:15" s="134" customFormat="1" ht="15" customHeight="1" thickBot="1">
      <c r="A7" s="64" t="s">
        <v>22</v>
      </c>
      <c r="B7" s="130" t="s">
        <v>99</v>
      </c>
      <c r="C7" s="131" t="s">
        <v>100</v>
      </c>
      <c r="D7" s="132"/>
      <c r="E7" s="132"/>
      <c r="F7" s="132"/>
      <c r="G7" s="132"/>
      <c r="H7" s="132"/>
      <c r="I7" s="133">
        <f aca="true" t="shared" si="0" ref="I7:N7">SUM(I8,I12,I29,I19)</f>
        <v>170054</v>
      </c>
      <c r="J7" s="204">
        <f t="shared" si="0"/>
        <v>11899</v>
      </c>
      <c r="K7" s="204">
        <f t="shared" si="0"/>
        <v>8098</v>
      </c>
      <c r="L7" s="204">
        <f t="shared" si="0"/>
        <v>55106</v>
      </c>
      <c r="M7" s="204">
        <f t="shared" si="0"/>
        <v>4515</v>
      </c>
      <c r="N7" s="204">
        <f t="shared" si="0"/>
        <v>11144</v>
      </c>
      <c r="O7" s="232">
        <f>SUM(I7:N7)</f>
        <v>260816</v>
      </c>
    </row>
    <row r="8" spans="1:15" s="134" customFormat="1" ht="15" customHeight="1" thickBot="1">
      <c r="A8" s="64" t="s">
        <v>23</v>
      </c>
      <c r="B8" s="135"/>
      <c r="C8" s="136" t="s">
        <v>101</v>
      </c>
      <c r="D8" s="140" t="s">
        <v>564</v>
      </c>
      <c r="E8" s="141"/>
      <c r="F8" s="141"/>
      <c r="G8" s="141"/>
      <c r="H8" s="141"/>
      <c r="I8" s="142">
        <f aca="true" t="shared" si="1" ref="I8:N8">SUM(I9:I11)</f>
        <v>0</v>
      </c>
      <c r="J8" s="142">
        <f t="shared" si="1"/>
        <v>0</v>
      </c>
      <c r="K8" s="142">
        <f t="shared" si="1"/>
        <v>0</v>
      </c>
      <c r="L8" s="142">
        <f t="shared" si="1"/>
        <v>0</v>
      </c>
      <c r="M8" s="142">
        <f t="shared" si="1"/>
        <v>0</v>
      </c>
      <c r="N8" s="142">
        <f t="shared" si="1"/>
        <v>3000</v>
      </c>
      <c r="O8" s="233">
        <f aca="true" t="shared" si="2" ref="O8:O50">SUM(I8:N8)</f>
        <v>3000</v>
      </c>
    </row>
    <row r="9" spans="1:15" s="110" customFormat="1" ht="15" customHeight="1" thickBot="1">
      <c r="A9" s="64" t="s">
        <v>24</v>
      </c>
      <c r="B9" s="109"/>
      <c r="C9" s="112"/>
      <c r="D9" s="95" t="s">
        <v>653</v>
      </c>
      <c r="E9" s="364" t="s">
        <v>652</v>
      </c>
      <c r="F9" s="364"/>
      <c r="G9" s="364"/>
      <c r="H9" s="365"/>
      <c r="I9" s="108"/>
      <c r="J9" s="206"/>
      <c r="K9" s="206"/>
      <c r="L9" s="206"/>
      <c r="M9" s="206"/>
      <c r="N9" s="206"/>
      <c r="O9" s="206">
        <f t="shared" si="2"/>
        <v>0</v>
      </c>
    </row>
    <row r="10" spans="1:15" s="110" customFormat="1" ht="15" customHeight="1" thickBot="1">
      <c r="A10" s="64" t="s">
        <v>25</v>
      </c>
      <c r="B10" s="109"/>
      <c r="C10" s="112"/>
      <c r="D10" s="113" t="s">
        <v>1365</v>
      </c>
      <c r="E10" s="308" t="s">
        <v>1169</v>
      </c>
      <c r="F10" s="307"/>
      <c r="G10" s="307"/>
      <c r="H10" s="307"/>
      <c r="I10" s="108"/>
      <c r="J10" s="206"/>
      <c r="K10" s="206"/>
      <c r="L10" s="206"/>
      <c r="M10" s="206"/>
      <c r="N10" s="206"/>
      <c r="O10" s="206"/>
    </row>
    <row r="11" spans="1:15" s="110" customFormat="1" ht="15" customHeight="1" thickBot="1">
      <c r="A11" s="64" t="s">
        <v>26</v>
      </c>
      <c r="B11" s="109"/>
      <c r="C11" s="112"/>
      <c r="D11" s="95" t="s">
        <v>654</v>
      </c>
      <c r="E11" s="107" t="s">
        <v>655</v>
      </c>
      <c r="F11" s="114"/>
      <c r="G11" s="114"/>
      <c r="H11" s="107"/>
      <c r="I11" s="108"/>
      <c r="J11" s="206"/>
      <c r="K11" s="206"/>
      <c r="L11" s="206"/>
      <c r="M11" s="206"/>
      <c r="N11" s="206">
        <f>Javaslat!L457</f>
        <v>3000</v>
      </c>
      <c r="O11" s="206">
        <f t="shared" si="2"/>
        <v>3000</v>
      </c>
    </row>
    <row r="12" spans="1:15" s="134" customFormat="1" ht="15" customHeight="1" thickBot="1">
      <c r="A12" s="64" t="s">
        <v>27</v>
      </c>
      <c r="B12" s="135"/>
      <c r="C12" s="136" t="s">
        <v>103</v>
      </c>
      <c r="D12" s="137" t="s">
        <v>102</v>
      </c>
      <c r="E12" s="138"/>
      <c r="F12" s="138"/>
      <c r="G12" s="138"/>
      <c r="H12" s="138"/>
      <c r="I12" s="139">
        <f aca="true" t="shared" si="3" ref="I12:N12">SUM(I13:I18)</f>
        <v>0</v>
      </c>
      <c r="J12" s="139">
        <f t="shared" si="3"/>
        <v>0</v>
      </c>
      <c r="K12" s="139">
        <f t="shared" si="3"/>
        <v>0</v>
      </c>
      <c r="L12" s="139">
        <f t="shared" si="3"/>
        <v>0</v>
      </c>
      <c r="M12" s="139">
        <f t="shared" si="3"/>
        <v>0</v>
      </c>
      <c r="N12" s="139">
        <f t="shared" si="3"/>
        <v>0</v>
      </c>
      <c r="O12" s="234">
        <f t="shared" si="2"/>
        <v>0</v>
      </c>
    </row>
    <row r="13" spans="1:15" s="56" customFormat="1" ht="15" customHeight="1" thickBot="1">
      <c r="A13" s="64" t="s">
        <v>28</v>
      </c>
      <c r="B13" s="53"/>
      <c r="C13" s="54"/>
      <c r="D13" s="106" t="s">
        <v>660</v>
      </c>
      <c r="E13" s="107" t="s">
        <v>661</v>
      </c>
      <c r="F13" s="55"/>
      <c r="G13" s="55"/>
      <c r="H13" s="55"/>
      <c r="I13" s="108"/>
      <c r="J13" s="206"/>
      <c r="K13" s="206"/>
      <c r="L13" s="206"/>
      <c r="M13" s="206"/>
      <c r="N13" s="206"/>
      <c r="O13" s="206">
        <f t="shared" si="2"/>
        <v>0</v>
      </c>
    </row>
    <row r="14" spans="1:15" s="56" customFormat="1" ht="15" customHeight="1" thickBot="1">
      <c r="A14" s="64" t="s">
        <v>29</v>
      </c>
      <c r="B14" s="53"/>
      <c r="C14" s="54"/>
      <c r="D14" s="95" t="s">
        <v>662</v>
      </c>
      <c r="E14" s="107" t="s">
        <v>663</v>
      </c>
      <c r="F14" s="55"/>
      <c r="G14" s="55"/>
      <c r="H14" s="55"/>
      <c r="I14" s="108"/>
      <c r="J14" s="206"/>
      <c r="K14" s="206"/>
      <c r="L14" s="206"/>
      <c r="M14" s="206"/>
      <c r="N14" s="206"/>
      <c r="O14" s="206">
        <f t="shared" si="2"/>
        <v>0</v>
      </c>
    </row>
    <row r="15" spans="1:15" s="56" customFormat="1" ht="15" customHeight="1" thickBot="1">
      <c r="A15" s="64" t="s">
        <v>30</v>
      </c>
      <c r="B15" s="53"/>
      <c r="C15" s="54"/>
      <c r="D15" s="95" t="s">
        <v>664</v>
      </c>
      <c r="E15" s="107" t="s">
        <v>665</v>
      </c>
      <c r="F15" s="55"/>
      <c r="G15" s="55"/>
      <c r="H15" s="55"/>
      <c r="I15" s="108"/>
      <c r="J15" s="206"/>
      <c r="K15" s="206"/>
      <c r="L15" s="206"/>
      <c r="M15" s="206"/>
      <c r="N15" s="206"/>
      <c r="O15" s="206">
        <f t="shared" si="2"/>
        <v>0</v>
      </c>
    </row>
    <row r="16" spans="1:15" s="56" customFormat="1" ht="15" customHeight="1" thickBot="1">
      <c r="A16" s="64" t="s">
        <v>31</v>
      </c>
      <c r="B16" s="53"/>
      <c r="C16" s="54"/>
      <c r="D16" s="95" t="s">
        <v>666</v>
      </c>
      <c r="E16" s="107" t="s">
        <v>667</v>
      </c>
      <c r="F16" s="55"/>
      <c r="G16" s="55"/>
      <c r="H16" s="55"/>
      <c r="I16" s="108"/>
      <c r="J16" s="206"/>
      <c r="K16" s="206"/>
      <c r="L16" s="206"/>
      <c r="M16" s="206"/>
      <c r="N16" s="206"/>
      <c r="O16" s="206">
        <f t="shared" si="2"/>
        <v>0</v>
      </c>
    </row>
    <row r="17" spans="1:15" s="56" customFormat="1" ht="15" customHeight="1" thickBot="1">
      <c r="A17" s="64" t="s">
        <v>32</v>
      </c>
      <c r="B17" s="53"/>
      <c r="C17" s="54"/>
      <c r="D17" s="95" t="s">
        <v>668</v>
      </c>
      <c r="E17" s="107" t="s">
        <v>669</v>
      </c>
      <c r="F17" s="55"/>
      <c r="G17" s="55"/>
      <c r="H17" s="55"/>
      <c r="I17" s="108"/>
      <c r="J17" s="206"/>
      <c r="K17" s="206"/>
      <c r="L17" s="206"/>
      <c r="M17" s="206"/>
      <c r="N17" s="206"/>
      <c r="O17" s="206">
        <f t="shared" si="2"/>
        <v>0</v>
      </c>
    </row>
    <row r="18" spans="1:15" s="56" customFormat="1" ht="15" customHeight="1" thickBot="1">
      <c r="A18" s="64" t="s">
        <v>33</v>
      </c>
      <c r="B18" s="53"/>
      <c r="C18" s="54"/>
      <c r="D18" s="111" t="s">
        <v>670</v>
      </c>
      <c r="E18" s="107" t="s">
        <v>563</v>
      </c>
      <c r="F18" s="55"/>
      <c r="G18" s="55"/>
      <c r="H18" s="55"/>
      <c r="I18" s="108"/>
      <c r="J18" s="206"/>
      <c r="K18" s="206"/>
      <c r="L18" s="206"/>
      <c r="M18" s="206"/>
      <c r="N18" s="206"/>
      <c r="O18" s="206">
        <f t="shared" si="2"/>
        <v>0</v>
      </c>
    </row>
    <row r="19" spans="1:15" s="134" customFormat="1" ht="15" customHeight="1" thickBot="1">
      <c r="A19" s="64" t="s">
        <v>34</v>
      </c>
      <c r="B19" s="135"/>
      <c r="C19" s="136" t="s">
        <v>104</v>
      </c>
      <c r="D19" s="137" t="s">
        <v>100</v>
      </c>
      <c r="E19" s="138"/>
      <c r="F19" s="138"/>
      <c r="G19" s="138"/>
      <c r="H19" s="138"/>
      <c r="I19" s="142">
        <f aca="true" t="shared" si="4" ref="I19:N19">SUM(I20:I28)</f>
        <v>170054</v>
      </c>
      <c r="J19" s="207">
        <f t="shared" si="4"/>
        <v>11899</v>
      </c>
      <c r="K19" s="207">
        <f t="shared" si="4"/>
        <v>8098</v>
      </c>
      <c r="L19" s="207">
        <f t="shared" si="4"/>
        <v>55106</v>
      </c>
      <c r="M19" s="207">
        <f t="shared" si="4"/>
        <v>4515</v>
      </c>
      <c r="N19" s="207">
        <f t="shared" si="4"/>
        <v>8144</v>
      </c>
      <c r="O19" s="234">
        <f t="shared" si="2"/>
        <v>257816</v>
      </c>
    </row>
    <row r="20" spans="1:15" s="110" customFormat="1" ht="15" customHeight="1" thickBot="1">
      <c r="A20" s="64" t="s">
        <v>35</v>
      </c>
      <c r="B20" s="109"/>
      <c r="C20" s="112"/>
      <c r="D20" s="113" t="s">
        <v>671</v>
      </c>
      <c r="E20" s="107" t="s">
        <v>680</v>
      </c>
      <c r="F20" s="107"/>
      <c r="G20" s="107"/>
      <c r="H20" s="97"/>
      <c r="I20" s="108"/>
      <c r="J20" s="206"/>
      <c r="K20" s="206"/>
      <c r="L20" s="206"/>
      <c r="M20" s="206"/>
      <c r="N20" s="206">
        <v>100</v>
      </c>
      <c r="O20" s="206">
        <f t="shared" si="2"/>
        <v>100</v>
      </c>
    </row>
    <row r="21" spans="1:15" s="110" customFormat="1" ht="15" customHeight="1" thickBot="1">
      <c r="A21" s="64" t="s">
        <v>36</v>
      </c>
      <c r="B21" s="109"/>
      <c r="C21" s="112"/>
      <c r="D21" s="113" t="s">
        <v>672</v>
      </c>
      <c r="E21" s="107" t="s">
        <v>681</v>
      </c>
      <c r="F21" s="107"/>
      <c r="G21" s="107"/>
      <c r="H21" s="97"/>
      <c r="I21" s="108">
        <v>99263</v>
      </c>
      <c r="J21" s="206">
        <v>271</v>
      </c>
      <c r="K21" s="206">
        <v>543</v>
      </c>
      <c r="L21" s="206">
        <v>32703</v>
      </c>
      <c r="M21" s="206">
        <v>418</v>
      </c>
      <c r="N21" s="206">
        <v>6049</v>
      </c>
      <c r="O21" s="206">
        <f t="shared" si="2"/>
        <v>139247</v>
      </c>
    </row>
    <row r="22" spans="1:15" s="110" customFormat="1" ht="15" customHeight="1" thickBot="1">
      <c r="A22" s="64" t="s">
        <v>37</v>
      </c>
      <c r="B22" s="109"/>
      <c r="C22" s="112"/>
      <c r="D22" s="113" t="s">
        <v>673</v>
      </c>
      <c r="E22" s="97" t="s">
        <v>682</v>
      </c>
      <c r="F22" s="97"/>
      <c r="G22" s="97"/>
      <c r="H22" s="97"/>
      <c r="I22" s="108"/>
      <c r="J22" s="206"/>
      <c r="K22" s="206"/>
      <c r="L22" s="206"/>
      <c r="M22" s="206"/>
      <c r="N22" s="206">
        <v>250</v>
      </c>
      <c r="O22" s="206">
        <f t="shared" si="2"/>
        <v>250</v>
      </c>
    </row>
    <row r="23" spans="1:15" s="110" customFormat="1" ht="15" customHeight="1" thickBot="1">
      <c r="A23" s="64" t="s">
        <v>38</v>
      </c>
      <c r="B23" s="109"/>
      <c r="C23" s="112"/>
      <c r="D23" s="113" t="s">
        <v>674</v>
      </c>
      <c r="E23" s="97" t="s">
        <v>683</v>
      </c>
      <c r="F23" s="107"/>
      <c r="G23" s="107"/>
      <c r="H23" s="107"/>
      <c r="I23" s="108"/>
      <c r="J23" s="206"/>
      <c r="K23" s="206"/>
      <c r="L23" s="206"/>
      <c r="M23" s="206"/>
      <c r="N23" s="206"/>
      <c r="O23" s="206">
        <f t="shared" si="2"/>
        <v>0</v>
      </c>
    </row>
    <row r="24" spans="1:15" s="110" customFormat="1" ht="15" customHeight="1" thickBot="1">
      <c r="A24" s="64" t="s">
        <v>39</v>
      </c>
      <c r="B24" s="109"/>
      <c r="C24" s="112"/>
      <c r="D24" s="113" t="s">
        <v>675</v>
      </c>
      <c r="E24" s="97" t="s">
        <v>684</v>
      </c>
      <c r="F24" s="107"/>
      <c r="G24" s="107"/>
      <c r="H24" s="107"/>
      <c r="I24" s="108">
        <v>31746</v>
      </c>
      <c r="J24" s="206">
        <v>6021</v>
      </c>
      <c r="K24" s="206">
        <v>4463</v>
      </c>
      <c r="L24" s="206">
        <v>7774</v>
      </c>
      <c r="M24" s="206">
        <v>3110</v>
      </c>
      <c r="N24" s="206"/>
      <c r="O24" s="206">
        <f t="shared" si="2"/>
        <v>53114</v>
      </c>
    </row>
    <row r="25" spans="1:15" s="110" customFormat="1" ht="15" customHeight="1" thickBot="1">
      <c r="A25" s="64" t="s">
        <v>41</v>
      </c>
      <c r="B25" s="109"/>
      <c r="C25" s="112"/>
      <c r="D25" s="113" t="s">
        <v>676</v>
      </c>
      <c r="E25" s="97" t="s">
        <v>685</v>
      </c>
      <c r="F25" s="107"/>
      <c r="G25" s="107"/>
      <c r="H25" s="107"/>
      <c r="I25" s="108">
        <v>39045</v>
      </c>
      <c r="J25" s="206">
        <v>1699</v>
      </c>
      <c r="K25" s="206">
        <v>1352</v>
      </c>
      <c r="L25" s="206">
        <v>10929</v>
      </c>
      <c r="M25" s="206">
        <v>953</v>
      </c>
      <c r="N25" s="206">
        <v>1188</v>
      </c>
      <c r="O25" s="206">
        <f t="shared" si="2"/>
        <v>55166</v>
      </c>
    </row>
    <row r="26" spans="1:15" s="110" customFormat="1" ht="15" customHeight="1" thickBot="1">
      <c r="A26" s="64" t="s">
        <v>42</v>
      </c>
      <c r="B26" s="109"/>
      <c r="C26" s="112"/>
      <c r="D26" s="113" t="s">
        <v>677</v>
      </c>
      <c r="E26" s="97" t="s">
        <v>686</v>
      </c>
      <c r="F26" s="107"/>
      <c r="G26" s="107"/>
      <c r="H26" s="107"/>
      <c r="I26" s="108"/>
      <c r="J26" s="206">
        <f>2802+Javaslat!L546</f>
        <v>3885</v>
      </c>
      <c r="K26" s="206">
        <v>1740</v>
      </c>
      <c r="L26" s="206">
        <v>3700</v>
      </c>
      <c r="M26" s="206">
        <v>34</v>
      </c>
      <c r="N26" s="206">
        <v>557</v>
      </c>
      <c r="O26" s="206">
        <f t="shared" si="2"/>
        <v>9916</v>
      </c>
    </row>
    <row r="27" spans="1:15" s="110" customFormat="1" ht="15" customHeight="1" thickBot="1">
      <c r="A27" s="64" t="s">
        <v>44</v>
      </c>
      <c r="B27" s="109"/>
      <c r="C27" s="112"/>
      <c r="D27" s="113" t="s">
        <v>678</v>
      </c>
      <c r="E27" s="97" t="s">
        <v>687</v>
      </c>
      <c r="F27" s="107"/>
      <c r="G27" s="107"/>
      <c r="H27" s="107"/>
      <c r="I27" s="108"/>
      <c r="J27" s="206">
        <f>Javaslat!L545</f>
        <v>23</v>
      </c>
      <c r="K27" s="206"/>
      <c r="L27" s="206"/>
      <c r="M27" s="206"/>
      <c r="N27" s="206"/>
      <c r="O27" s="206">
        <f t="shared" si="2"/>
        <v>23</v>
      </c>
    </row>
    <row r="28" spans="1:15" s="110" customFormat="1" ht="15" customHeight="1" thickBot="1">
      <c r="A28" s="64" t="s">
        <v>45</v>
      </c>
      <c r="B28" s="109"/>
      <c r="C28" s="112"/>
      <c r="D28" s="113" t="s">
        <v>679</v>
      </c>
      <c r="E28" s="97" t="s">
        <v>688</v>
      </c>
      <c r="F28" s="107"/>
      <c r="G28" s="107"/>
      <c r="H28" s="107"/>
      <c r="I28" s="108"/>
      <c r="J28" s="206"/>
      <c r="K28" s="206"/>
      <c r="L28" s="206"/>
      <c r="M28" s="206"/>
      <c r="N28" s="206"/>
      <c r="O28" s="206">
        <f t="shared" si="2"/>
        <v>0</v>
      </c>
    </row>
    <row r="29" spans="1:15" s="134" customFormat="1" ht="15" customHeight="1" thickBot="1">
      <c r="A29" s="64" t="s">
        <v>46</v>
      </c>
      <c r="B29" s="135"/>
      <c r="C29" s="136" t="s">
        <v>105</v>
      </c>
      <c r="D29" s="140" t="s">
        <v>565</v>
      </c>
      <c r="E29" s="141"/>
      <c r="F29" s="138"/>
      <c r="G29" s="138"/>
      <c r="H29" s="138"/>
      <c r="I29" s="139">
        <f aca="true" t="shared" si="5" ref="I29:N29">SUM(I30:I31)</f>
        <v>0</v>
      </c>
      <c r="J29" s="139">
        <f t="shared" si="5"/>
        <v>0</v>
      </c>
      <c r="K29" s="139">
        <f t="shared" si="5"/>
        <v>0</v>
      </c>
      <c r="L29" s="139">
        <f t="shared" si="5"/>
        <v>0</v>
      </c>
      <c r="M29" s="139">
        <f t="shared" si="5"/>
        <v>0</v>
      </c>
      <c r="N29" s="139">
        <f t="shared" si="5"/>
        <v>0</v>
      </c>
      <c r="O29" s="234">
        <f t="shared" si="2"/>
        <v>0</v>
      </c>
    </row>
    <row r="30" spans="1:15" s="96" customFormat="1" ht="15" customHeight="1" thickBot="1">
      <c r="A30" s="64" t="s">
        <v>48</v>
      </c>
      <c r="B30" s="94"/>
      <c r="C30" s="115"/>
      <c r="D30" s="95" t="s">
        <v>693</v>
      </c>
      <c r="E30" s="97" t="s">
        <v>691</v>
      </c>
      <c r="F30" s="116"/>
      <c r="G30" s="98"/>
      <c r="H30" s="98"/>
      <c r="I30" s="108"/>
      <c r="J30" s="206"/>
      <c r="K30" s="206"/>
      <c r="L30" s="206"/>
      <c r="M30" s="206"/>
      <c r="N30" s="206"/>
      <c r="O30" s="206">
        <f t="shared" si="2"/>
        <v>0</v>
      </c>
    </row>
    <row r="31" spans="1:15" s="96" customFormat="1" ht="15" customHeight="1" thickBot="1">
      <c r="A31" s="64" t="s">
        <v>49</v>
      </c>
      <c r="B31" s="94"/>
      <c r="C31" s="115"/>
      <c r="D31" s="95" t="s">
        <v>694</v>
      </c>
      <c r="E31" s="97" t="s">
        <v>692</v>
      </c>
      <c r="F31" s="116"/>
      <c r="G31" s="98"/>
      <c r="H31" s="98"/>
      <c r="I31" s="108"/>
      <c r="J31" s="206"/>
      <c r="K31" s="206"/>
      <c r="L31" s="206"/>
      <c r="M31" s="206"/>
      <c r="N31" s="206"/>
      <c r="O31" s="206">
        <f t="shared" si="2"/>
        <v>0</v>
      </c>
    </row>
    <row r="32" spans="1:15" s="134" customFormat="1" ht="15" customHeight="1" thickBot="1">
      <c r="A32" s="64" t="s">
        <v>50</v>
      </c>
      <c r="B32" s="130" t="s">
        <v>107</v>
      </c>
      <c r="C32" s="131" t="s">
        <v>108</v>
      </c>
      <c r="D32" s="131"/>
      <c r="E32" s="131"/>
      <c r="F32" s="131"/>
      <c r="G32" s="131"/>
      <c r="H32" s="131"/>
      <c r="I32" s="133">
        <f aca="true" t="shared" si="6" ref="I32:N32">SUM(I33,I36,I39)</f>
        <v>0</v>
      </c>
      <c r="J32" s="133">
        <f t="shared" si="6"/>
        <v>0</v>
      </c>
      <c r="K32" s="133">
        <f t="shared" si="6"/>
        <v>0</v>
      </c>
      <c r="L32" s="133">
        <f t="shared" si="6"/>
        <v>0</v>
      </c>
      <c r="M32" s="133">
        <f t="shared" si="6"/>
        <v>0</v>
      </c>
      <c r="N32" s="133">
        <f t="shared" si="6"/>
        <v>581</v>
      </c>
      <c r="O32" s="232">
        <f t="shared" si="2"/>
        <v>581</v>
      </c>
    </row>
    <row r="33" spans="1:15" s="134" customFormat="1" ht="15" customHeight="1" thickBot="1">
      <c r="A33" s="64" t="s">
        <v>51</v>
      </c>
      <c r="B33" s="135"/>
      <c r="C33" s="143" t="s">
        <v>109</v>
      </c>
      <c r="D33" s="145" t="s">
        <v>566</v>
      </c>
      <c r="E33" s="140"/>
      <c r="F33" s="141"/>
      <c r="G33" s="141"/>
      <c r="H33" s="141"/>
      <c r="I33" s="142">
        <f aca="true" t="shared" si="7" ref="I33:N33">SUM(I34:I35)</f>
        <v>0</v>
      </c>
      <c r="J33" s="142">
        <f t="shared" si="7"/>
        <v>0</v>
      </c>
      <c r="K33" s="142">
        <f t="shared" si="7"/>
        <v>0</v>
      </c>
      <c r="L33" s="142">
        <f t="shared" si="7"/>
        <v>0</v>
      </c>
      <c r="M33" s="142">
        <f t="shared" si="7"/>
        <v>0</v>
      </c>
      <c r="N33" s="142">
        <f t="shared" si="7"/>
        <v>581</v>
      </c>
      <c r="O33" s="233">
        <f t="shared" si="2"/>
        <v>581</v>
      </c>
    </row>
    <row r="34" spans="1:15" s="110" customFormat="1" ht="15" customHeight="1" thickBot="1">
      <c r="A34" s="64" t="s">
        <v>53</v>
      </c>
      <c r="B34" s="109"/>
      <c r="C34" s="112"/>
      <c r="D34" s="95" t="s">
        <v>656</v>
      </c>
      <c r="E34" s="107" t="s">
        <v>657</v>
      </c>
      <c r="F34" s="107"/>
      <c r="G34" s="107"/>
      <c r="H34" s="107"/>
      <c r="I34" s="108"/>
      <c r="J34" s="108"/>
      <c r="K34" s="108"/>
      <c r="L34" s="108"/>
      <c r="M34" s="108"/>
      <c r="N34" s="108"/>
      <c r="O34" s="206">
        <f t="shared" si="2"/>
        <v>0</v>
      </c>
    </row>
    <row r="35" spans="1:15" s="110" customFormat="1" ht="15" customHeight="1" thickBot="1">
      <c r="A35" s="64" t="s">
        <v>54</v>
      </c>
      <c r="B35" s="109"/>
      <c r="C35" s="95"/>
      <c r="D35" s="95" t="s">
        <v>658</v>
      </c>
      <c r="E35" s="107" t="s">
        <v>659</v>
      </c>
      <c r="F35" s="114"/>
      <c r="G35" s="114"/>
      <c r="H35" s="107"/>
      <c r="I35" s="108"/>
      <c r="J35" s="108"/>
      <c r="K35" s="108"/>
      <c r="L35" s="108"/>
      <c r="M35" s="108"/>
      <c r="N35" s="108">
        <f>Javaslat!L461</f>
        <v>581</v>
      </c>
      <c r="O35" s="206">
        <f t="shared" si="2"/>
        <v>581</v>
      </c>
    </row>
    <row r="36" spans="1:15" s="134" customFormat="1" ht="15" customHeight="1" thickBot="1">
      <c r="A36" s="64" t="s">
        <v>55</v>
      </c>
      <c r="B36" s="135"/>
      <c r="C36" s="143" t="s">
        <v>110</v>
      </c>
      <c r="D36" s="144" t="s">
        <v>108</v>
      </c>
      <c r="E36" s="137"/>
      <c r="F36" s="138"/>
      <c r="G36" s="138"/>
      <c r="H36" s="138"/>
      <c r="I36" s="139">
        <f aca="true" t="shared" si="8" ref="I36:N36">SUM(I37:I38)</f>
        <v>0</v>
      </c>
      <c r="J36" s="139">
        <f t="shared" si="8"/>
        <v>0</v>
      </c>
      <c r="K36" s="139">
        <f t="shared" si="8"/>
        <v>0</v>
      </c>
      <c r="L36" s="139">
        <f t="shared" si="8"/>
        <v>0</v>
      </c>
      <c r="M36" s="139">
        <f t="shared" si="8"/>
        <v>0</v>
      </c>
      <c r="N36" s="139">
        <f t="shared" si="8"/>
        <v>0</v>
      </c>
      <c r="O36" s="234">
        <f t="shared" si="2"/>
        <v>0</v>
      </c>
    </row>
    <row r="37" spans="1:15" s="110" customFormat="1" ht="15" customHeight="1" thickBot="1">
      <c r="A37" s="64" t="s">
        <v>56</v>
      </c>
      <c r="B37" s="109"/>
      <c r="C37" s="112"/>
      <c r="D37" s="95" t="s">
        <v>695</v>
      </c>
      <c r="E37" s="107" t="s">
        <v>689</v>
      </c>
      <c r="F37" s="107"/>
      <c r="G37" s="107"/>
      <c r="H37" s="107"/>
      <c r="I37" s="108"/>
      <c r="J37" s="108"/>
      <c r="K37" s="108"/>
      <c r="L37" s="108"/>
      <c r="M37" s="108"/>
      <c r="N37" s="108"/>
      <c r="O37" s="206">
        <f t="shared" si="2"/>
        <v>0</v>
      </c>
    </row>
    <row r="38" spans="1:15" s="110" customFormat="1" ht="15" customHeight="1" thickBot="1">
      <c r="A38" s="64" t="s">
        <v>57</v>
      </c>
      <c r="B38" s="109"/>
      <c r="C38" s="112"/>
      <c r="D38" s="95" t="s">
        <v>696</v>
      </c>
      <c r="E38" s="107" t="s">
        <v>690</v>
      </c>
      <c r="F38" s="97"/>
      <c r="G38" s="97"/>
      <c r="H38" s="97"/>
      <c r="I38" s="108"/>
      <c r="J38" s="108"/>
      <c r="K38" s="108"/>
      <c r="L38" s="108"/>
      <c r="M38" s="108"/>
      <c r="N38" s="108"/>
      <c r="O38" s="206">
        <f t="shared" si="2"/>
        <v>0</v>
      </c>
    </row>
    <row r="39" spans="1:15" s="134" customFormat="1" ht="15" customHeight="1" thickBot="1">
      <c r="A39" s="64" t="s">
        <v>58</v>
      </c>
      <c r="B39" s="135"/>
      <c r="C39" s="143" t="s">
        <v>111</v>
      </c>
      <c r="D39" s="140" t="s">
        <v>567</v>
      </c>
      <c r="E39" s="146"/>
      <c r="F39" s="141"/>
      <c r="G39" s="141"/>
      <c r="H39" s="141"/>
      <c r="I39" s="142">
        <f aca="true" t="shared" si="9" ref="I39:N39">SUM(I40)</f>
        <v>0</v>
      </c>
      <c r="J39" s="142">
        <f t="shared" si="9"/>
        <v>0</v>
      </c>
      <c r="K39" s="142">
        <f t="shared" si="9"/>
        <v>0</v>
      </c>
      <c r="L39" s="142">
        <f t="shared" si="9"/>
        <v>0</v>
      </c>
      <c r="M39" s="142">
        <f t="shared" si="9"/>
        <v>0</v>
      </c>
      <c r="N39" s="142">
        <f t="shared" si="9"/>
        <v>0</v>
      </c>
      <c r="O39" s="233">
        <f t="shared" si="2"/>
        <v>0</v>
      </c>
    </row>
    <row r="40" spans="1:15" s="110" customFormat="1" ht="15" customHeight="1" thickBot="1">
      <c r="A40" s="64" t="s">
        <v>59</v>
      </c>
      <c r="B40" s="109"/>
      <c r="C40" s="112"/>
      <c r="D40" s="95" t="s">
        <v>697</v>
      </c>
      <c r="E40" s="97" t="s">
        <v>568</v>
      </c>
      <c r="F40" s="97"/>
      <c r="G40" s="97"/>
      <c r="H40" s="97"/>
      <c r="I40" s="99"/>
      <c r="J40" s="208"/>
      <c r="K40" s="208"/>
      <c r="L40" s="208"/>
      <c r="M40" s="208"/>
      <c r="N40" s="208"/>
      <c r="O40" s="208">
        <f t="shared" si="2"/>
        <v>0</v>
      </c>
    </row>
    <row r="41" spans="1:15" s="134" customFormat="1" ht="30" customHeight="1" thickBot="1">
      <c r="A41" s="64" t="s">
        <v>60</v>
      </c>
      <c r="B41" s="361" t="s">
        <v>950</v>
      </c>
      <c r="C41" s="362"/>
      <c r="D41" s="362"/>
      <c r="E41" s="362"/>
      <c r="F41" s="362"/>
      <c r="G41" s="362"/>
      <c r="H41" s="362"/>
      <c r="I41" s="147">
        <f aca="true" t="shared" si="10" ref="I41:N41">SUM(I7,I32)</f>
        <v>170054</v>
      </c>
      <c r="J41" s="147">
        <f t="shared" si="10"/>
        <v>11899</v>
      </c>
      <c r="K41" s="147">
        <f t="shared" si="10"/>
        <v>8098</v>
      </c>
      <c r="L41" s="147">
        <f t="shared" si="10"/>
        <v>55106</v>
      </c>
      <c r="M41" s="147">
        <f t="shared" si="10"/>
        <v>4515</v>
      </c>
      <c r="N41" s="147">
        <f t="shared" si="10"/>
        <v>11725</v>
      </c>
      <c r="O41" s="235">
        <f t="shared" si="2"/>
        <v>261397</v>
      </c>
    </row>
    <row r="42" spans="1:15" s="149" customFormat="1" ht="15" customHeight="1" thickBot="1">
      <c r="A42" s="64" t="s">
        <v>61</v>
      </c>
      <c r="B42" s="130" t="s">
        <v>112</v>
      </c>
      <c r="C42" s="363" t="s">
        <v>569</v>
      </c>
      <c r="D42" s="363"/>
      <c r="E42" s="363"/>
      <c r="F42" s="363"/>
      <c r="G42" s="363"/>
      <c r="H42" s="363"/>
      <c r="I42" s="133">
        <f aca="true" t="shared" si="11" ref="I42:N42">SUM(I43,I45,I48)</f>
        <v>293412</v>
      </c>
      <c r="J42" s="133">
        <f t="shared" si="11"/>
        <v>121569</v>
      </c>
      <c r="K42" s="133">
        <f t="shared" si="11"/>
        <v>118522</v>
      </c>
      <c r="L42" s="133">
        <f t="shared" si="11"/>
        <v>141393</v>
      </c>
      <c r="M42" s="133">
        <f t="shared" si="11"/>
        <v>71681</v>
      </c>
      <c r="N42" s="133">
        <f t="shared" si="11"/>
        <v>110621</v>
      </c>
      <c r="O42" s="232">
        <f t="shared" si="2"/>
        <v>857198</v>
      </c>
    </row>
    <row r="43" spans="1:15" s="149" customFormat="1" ht="15" customHeight="1" thickBot="1">
      <c r="A43" s="64" t="s">
        <v>62</v>
      </c>
      <c r="B43" s="148"/>
      <c r="C43" s="136" t="s">
        <v>113</v>
      </c>
      <c r="D43" s="137" t="s">
        <v>570</v>
      </c>
      <c r="E43" s="137"/>
      <c r="F43" s="137"/>
      <c r="G43" s="137"/>
      <c r="H43" s="137"/>
      <c r="I43" s="139">
        <f aca="true" t="shared" si="12" ref="I43:N43">SUM(I44)</f>
        <v>0</v>
      </c>
      <c r="J43" s="139">
        <f t="shared" si="12"/>
        <v>0</v>
      </c>
      <c r="K43" s="139">
        <f t="shared" si="12"/>
        <v>0</v>
      </c>
      <c r="L43" s="139">
        <f t="shared" si="12"/>
        <v>0</v>
      </c>
      <c r="M43" s="139">
        <f t="shared" si="12"/>
        <v>0</v>
      </c>
      <c r="N43" s="139">
        <f t="shared" si="12"/>
        <v>0</v>
      </c>
      <c r="O43" s="234">
        <f t="shared" si="2"/>
        <v>0</v>
      </c>
    </row>
    <row r="44" spans="1:15" s="110" customFormat="1" ht="15" customHeight="1" thickBot="1">
      <c r="A44" s="64" t="s">
        <v>64</v>
      </c>
      <c r="B44" s="109"/>
      <c r="C44" s="95"/>
      <c r="D44" s="113" t="s">
        <v>698</v>
      </c>
      <c r="E44" s="107" t="s">
        <v>571</v>
      </c>
      <c r="F44" s="107"/>
      <c r="G44" s="107"/>
      <c r="H44" s="107"/>
      <c r="I44" s="108"/>
      <c r="J44" s="108"/>
      <c r="K44" s="108"/>
      <c r="L44" s="108"/>
      <c r="M44" s="108"/>
      <c r="N44" s="108"/>
      <c r="O44" s="206">
        <f t="shared" si="2"/>
        <v>0</v>
      </c>
    </row>
    <row r="45" spans="1:15" s="134" customFormat="1" ht="15" customHeight="1" thickBot="1">
      <c r="A45" s="64" t="s">
        <v>65</v>
      </c>
      <c r="B45" s="135"/>
      <c r="C45" s="136" t="s">
        <v>572</v>
      </c>
      <c r="D45" s="137" t="s">
        <v>573</v>
      </c>
      <c r="E45" s="137"/>
      <c r="F45" s="137"/>
      <c r="G45" s="137"/>
      <c r="H45" s="141"/>
      <c r="I45" s="139">
        <f aca="true" t="shared" si="13" ref="I45:N45">SUM(I46:I47)</f>
        <v>30820</v>
      </c>
      <c r="J45" s="139">
        <f t="shared" si="13"/>
        <v>6242</v>
      </c>
      <c r="K45" s="139">
        <f t="shared" si="13"/>
        <v>7861</v>
      </c>
      <c r="L45" s="139">
        <f t="shared" si="13"/>
        <v>3706</v>
      </c>
      <c r="M45" s="139">
        <f t="shared" si="13"/>
        <v>1743</v>
      </c>
      <c r="N45" s="139">
        <f t="shared" si="13"/>
        <v>11746</v>
      </c>
      <c r="O45" s="234">
        <f t="shared" si="2"/>
        <v>62118</v>
      </c>
    </row>
    <row r="46" spans="1:15" s="96" customFormat="1" ht="15" customHeight="1" thickBot="1">
      <c r="A46" s="64" t="s">
        <v>66</v>
      </c>
      <c r="B46" s="94"/>
      <c r="C46" s="95"/>
      <c r="D46" s="95" t="s">
        <v>703</v>
      </c>
      <c r="E46" s="97" t="s">
        <v>699</v>
      </c>
      <c r="F46" s="97"/>
      <c r="G46" s="97"/>
      <c r="H46" s="98"/>
      <c r="I46" s="99">
        <v>30820</v>
      </c>
      <c r="J46" s="99">
        <v>6242</v>
      </c>
      <c r="K46" s="99">
        <v>7861</v>
      </c>
      <c r="L46" s="99">
        <v>3706</v>
      </c>
      <c r="M46" s="99">
        <v>1743</v>
      </c>
      <c r="N46" s="99">
        <v>11746</v>
      </c>
      <c r="O46" s="208">
        <f t="shared" si="2"/>
        <v>62118</v>
      </c>
    </row>
    <row r="47" spans="1:15" s="96" customFormat="1" ht="15" customHeight="1" thickBot="1">
      <c r="A47" s="64" t="s">
        <v>67</v>
      </c>
      <c r="B47" s="94"/>
      <c r="C47" s="95"/>
      <c r="D47" s="95" t="s">
        <v>704</v>
      </c>
      <c r="E47" s="97" t="s">
        <v>700</v>
      </c>
      <c r="F47" s="97"/>
      <c r="G47" s="97"/>
      <c r="H47" s="98"/>
      <c r="I47" s="99"/>
      <c r="J47" s="99"/>
      <c r="K47" s="99"/>
      <c r="L47" s="99"/>
      <c r="M47" s="99"/>
      <c r="N47" s="99"/>
      <c r="O47" s="208">
        <f t="shared" si="2"/>
        <v>0</v>
      </c>
    </row>
    <row r="48" spans="1:15" s="134" customFormat="1" ht="15" customHeight="1" thickBot="1">
      <c r="A48" s="64" t="s">
        <v>68</v>
      </c>
      <c r="B48" s="188"/>
      <c r="C48" s="189" t="s">
        <v>574</v>
      </c>
      <c r="D48" s="190" t="s">
        <v>225</v>
      </c>
      <c r="E48" s="191"/>
      <c r="F48" s="191"/>
      <c r="G48" s="191"/>
      <c r="H48" s="191"/>
      <c r="I48" s="192">
        <f aca="true" t="shared" si="14" ref="I48:N48">I78-I41-I45</f>
        <v>262592</v>
      </c>
      <c r="J48" s="192">
        <f t="shared" si="14"/>
        <v>115327</v>
      </c>
      <c r="K48" s="192">
        <f t="shared" si="14"/>
        <v>110661</v>
      </c>
      <c r="L48" s="192">
        <f t="shared" si="14"/>
        <v>137687</v>
      </c>
      <c r="M48" s="192">
        <f t="shared" si="14"/>
        <v>69938</v>
      </c>
      <c r="N48" s="192">
        <f t="shared" si="14"/>
        <v>98875</v>
      </c>
      <c r="O48" s="236">
        <f t="shared" si="2"/>
        <v>795080</v>
      </c>
    </row>
    <row r="49" spans="1:15" s="134" customFormat="1" ht="15" customHeight="1" thickBot="1">
      <c r="A49" s="64" t="s">
        <v>69</v>
      </c>
      <c r="B49" s="151" t="s">
        <v>585</v>
      </c>
      <c r="C49" s="152" t="s">
        <v>586</v>
      </c>
      <c r="D49" s="153"/>
      <c r="E49" s="153"/>
      <c r="F49" s="153"/>
      <c r="G49" s="153"/>
      <c r="H49" s="153"/>
      <c r="I49" s="133"/>
      <c r="J49" s="133"/>
      <c r="K49" s="133"/>
      <c r="L49" s="133"/>
      <c r="M49" s="133"/>
      <c r="N49" s="133"/>
      <c r="O49" s="232">
        <f t="shared" si="2"/>
        <v>0</v>
      </c>
    </row>
    <row r="50" spans="1:15" s="134" customFormat="1" ht="30" customHeight="1" thickBot="1">
      <c r="A50" s="64" t="s">
        <v>70</v>
      </c>
      <c r="B50" s="359" t="s">
        <v>951</v>
      </c>
      <c r="C50" s="360"/>
      <c r="D50" s="360"/>
      <c r="E50" s="360"/>
      <c r="F50" s="360"/>
      <c r="G50" s="360"/>
      <c r="H50" s="360"/>
      <c r="I50" s="147">
        <f aca="true" t="shared" si="15" ref="I50:N50">SUM(I41,I42,I49)</f>
        <v>463466</v>
      </c>
      <c r="J50" s="147">
        <f t="shared" si="15"/>
        <v>133468</v>
      </c>
      <c r="K50" s="147">
        <f t="shared" si="15"/>
        <v>126620</v>
      </c>
      <c r="L50" s="147">
        <f t="shared" si="15"/>
        <v>196499</v>
      </c>
      <c r="M50" s="147">
        <f t="shared" si="15"/>
        <v>76196</v>
      </c>
      <c r="N50" s="147">
        <f t="shared" si="15"/>
        <v>122346</v>
      </c>
      <c r="O50" s="237">
        <f t="shared" si="2"/>
        <v>1118595</v>
      </c>
    </row>
    <row r="51" spans="1:15" s="56" customFormat="1" ht="15" customHeight="1" thickBot="1">
      <c r="A51" s="64" t="s">
        <v>71</v>
      </c>
      <c r="B51" s="118"/>
      <c r="C51" s="119"/>
      <c r="D51" s="119"/>
      <c r="E51" s="119"/>
      <c r="F51" s="119"/>
      <c r="G51" s="119"/>
      <c r="H51" s="119"/>
      <c r="I51" s="119"/>
      <c r="J51" s="119"/>
      <c r="K51" s="119"/>
      <c r="L51" s="119"/>
      <c r="M51" s="119"/>
      <c r="N51" s="119"/>
      <c r="O51" s="120"/>
    </row>
    <row r="52" spans="1:15" ht="60.75" thickBot="1">
      <c r="A52" s="64" t="s">
        <v>72</v>
      </c>
      <c r="B52" s="353" t="s">
        <v>123</v>
      </c>
      <c r="C52" s="353"/>
      <c r="D52" s="353"/>
      <c r="E52" s="353"/>
      <c r="F52" s="353"/>
      <c r="G52" s="353"/>
      <c r="H52" s="353"/>
      <c r="I52" s="105" t="s">
        <v>869</v>
      </c>
      <c r="J52" s="105" t="s">
        <v>93</v>
      </c>
      <c r="K52" s="105" t="s">
        <v>94</v>
      </c>
      <c r="L52" s="105" t="s">
        <v>95</v>
      </c>
      <c r="M52" s="105" t="s">
        <v>96</v>
      </c>
      <c r="N52" s="105" t="s">
        <v>97</v>
      </c>
      <c r="O52" s="105" t="s">
        <v>131</v>
      </c>
    </row>
    <row r="53" spans="1:15" s="157" customFormat="1" ht="16.5" thickBot="1">
      <c r="A53" s="64" t="s">
        <v>73</v>
      </c>
      <c r="B53" s="154" t="s">
        <v>99</v>
      </c>
      <c r="C53" s="155" t="s">
        <v>114</v>
      </c>
      <c r="D53" s="155"/>
      <c r="E53" s="155"/>
      <c r="F53" s="155"/>
      <c r="G53" s="155"/>
      <c r="H53" s="155"/>
      <c r="I53" s="156">
        <f aca="true" t="shared" si="16" ref="I53:N53">SUM(I54:I58)</f>
        <v>452654</v>
      </c>
      <c r="J53" s="156">
        <f t="shared" si="16"/>
        <v>131158</v>
      </c>
      <c r="K53" s="156">
        <f t="shared" si="16"/>
        <v>125906</v>
      </c>
      <c r="L53" s="156">
        <f t="shared" si="16"/>
        <v>194877</v>
      </c>
      <c r="M53" s="156">
        <f t="shared" si="16"/>
        <v>75163</v>
      </c>
      <c r="N53" s="156">
        <f t="shared" si="16"/>
        <v>121265</v>
      </c>
      <c r="O53" s="238">
        <f>SUM(I53:N53)</f>
        <v>1101023</v>
      </c>
    </row>
    <row r="54" spans="1:15" s="157" customFormat="1" ht="16.5" thickBot="1">
      <c r="A54" s="64" t="s">
        <v>74</v>
      </c>
      <c r="B54" s="158"/>
      <c r="C54" s="159" t="s">
        <v>101</v>
      </c>
      <c r="D54" s="160" t="s">
        <v>115</v>
      </c>
      <c r="E54" s="160"/>
      <c r="F54" s="160"/>
      <c r="G54" s="160"/>
      <c r="H54" s="161"/>
      <c r="I54" s="162">
        <f>118845+Javaslat!N496</f>
        <v>124140</v>
      </c>
      <c r="J54" s="162">
        <f>70730+Javaslat!N552</f>
        <v>71462</v>
      </c>
      <c r="K54" s="162">
        <f>72223+Javaslat!N576</f>
        <v>72643</v>
      </c>
      <c r="L54" s="162">
        <f>108138+Javaslat!N524</f>
        <v>109560</v>
      </c>
      <c r="M54" s="162">
        <f>42654+Javaslat!N595</f>
        <v>45938</v>
      </c>
      <c r="N54" s="162">
        <f>35617+Javaslat!N468</f>
        <v>37171</v>
      </c>
      <c r="O54" s="239">
        <f aca="true" t="shared" si="17" ref="O54:O78">SUM(I54:N54)</f>
        <v>460914</v>
      </c>
    </row>
    <row r="55" spans="1:15" s="157" customFormat="1" ht="16.5" thickBot="1">
      <c r="A55" s="64" t="s">
        <v>75</v>
      </c>
      <c r="B55" s="158"/>
      <c r="C55" s="159" t="s">
        <v>103</v>
      </c>
      <c r="D55" s="163" t="s">
        <v>575</v>
      </c>
      <c r="E55" s="164"/>
      <c r="F55" s="163"/>
      <c r="G55" s="163"/>
      <c r="H55" s="165"/>
      <c r="I55" s="166">
        <f>37177+Javaslat!N501</f>
        <v>31404</v>
      </c>
      <c r="J55" s="166">
        <f>19905+Javaslat!N556</f>
        <v>19583</v>
      </c>
      <c r="K55" s="166">
        <f>20040+Javaslat!N580</f>
        <v>19283</v>
      </c>
      <c r="L55" s="166">
        <f>31131+Javaslat!N528</f>
        <v>30303</v>
      </c>
      <c r="M55" s="166">
        <f>11902+Javaslat!N599</f>
        <v>11353</v>
      </c>
      <c r="N55" s="166">
        <f>9783+Javaslat!N472</f>
        <v>9464</v>
      </c>
      <c r="O55" s="58">
        <f t="shared" si="17"/>
        <v>121390</v>
      </c>
    </row>
    <row r="56" spans="1:15" s="157" customFormat="1" ht="16.5" thickBot="1">
      <c r="A56" s="64" t="s">
        <v>76</v>
      </c>
      <c r="B56" s="158"/>
      <c r="C56" s="159" t="s">
        <v>104</v>
      </c>
      <c r="D56" s="163" t="s">
        <v>576</v>
      </c>
      <c r="E56" s="164"/>
      <c r="F56" s="163"/>
      <c r="G56" s="163"/>
      <c r="H56" s="165"/>
      <c r="I56" s="166">
        <f>271712+Javaslat!N510</f>
        <v>271268</v>
      </c>
      <c r="J56" s="166">
        <f>35964+Javaslat!N564</f>
        <v>35809</v>
      </c>
      <c r="K56" s="166">
        <v>28128</v>
      </c>
      <c r="L56" s="166">
        <f>51847+Javaslat!N536</f>
        <v>51625</v>
      </c>
      <c r="M56" s="166">
        <v>14739</v>
      </c>
      <c r="N56" s="166">
        <f>62058+Javaslat!N483</f>
        <v>66602</v>
      </c>
      <c r="O56" s="58">
        <f t="shared" si="17"/>
        <v>468171</v>
      </c>
    </row>
    <row r="57" spans="1:15" s="157" customFormat="1" ht="16.5" thickBot="1">
      <c r="A57" s="64" t="s">
        <v>77</v>
      </c>
      <c r="B57" s="158"/>
      <c r="C57" s="159" t="s">
        <v>106</v>
      </c>
      <c r="D57" s="167" t="s">
        <v>596</v>
      </c>
      <c r="E57" s="168"/>
      <c r="F57" s="168"/>
      <c r="G57" s="167"/>
      <c r="H57" s="169"/>
      <c r="I57" s="187"/>
      <c r="J57" s="187"/>
      <c r="K57" s="187"/>
      <c r="L57" s="187"/>
      <c r="M57" s="187"/>
      <c r="N57" s="187"/>
      <c r="O57" s="59">
        <f t="shared" si="17"/>
        <v>0</v>
      </c>
    </row>
    <row r="58" spans="1:15" s="157" customFormat="1" ht="16.5" thickBot="1">
      <c r="A58" s="64" t="s">
        <v>78</v>
      </c>
      <c r="B58" s="158"/>
      <c r="C58" s="159" t="s">
        <v>105</v>
      </c>
      <c r="D58" s="163" t="s">
        <v>577</v>
      </c>
      <c r="E58" s="164"/>
      <c r="F58" s="163"/>
      <c r="G58" s="163"/>
      <c r="H58" s="165"/>
      <c r="I58" s="166">
        <f aca="true" t="shared" si="18" ref="I58:N58">SUM(I59:I63)</f>
        <v>25842</v>
      </c>
      <c r="J58" s="166">
        <f t="shared" si="18"/>
        <v>4304</v>
      </c>
      <c r="K58" s="166">
        <f t="shared" si="18"/>
        <v>5852</v>
      </c>
      <c r="L58" s="166">
        <f t="shared" si="18"/>
        <v>3389</v>
      </c>
      <c r="M58" s="166">
        <f t="shared" si="18"/>
        <v>3133</v>
      </c>
      <c r="N58" s="166">
        <f t="shared" si="18"/>
        <v>8028</v>
      </c>
      <c r="O58" s="58">
        <f t="shared" si="17"/>
        <v>50548</v>
      </c>
    </row>
    <row r="59" spans="1:15" s="62" customFormat="1" ht="15" thickBot="1">
      <c r="A59" s="64" t="s">
        <v>80</v>
      </c>
      <c r="B59" s="121"/>
      <c r="C59" s="122"/>
      <c r="D59" s="123" t="s">
        <v>710</v>
      </c>
      <c r="E59" s="124" t="s">
        <v>708</v>
      </c>
      <c r="F59" s="124"/>
      <c r="G59" s="124"/>
      <c r="H59" s="125"/>
      <c r="I59" s="102">
        <f>18639+Javaslat!N507</f>
        <v>25842</v>
      </c>
      <c r="J59" s="102">
        <f>3783+Javaslat!N561</f>
        <v>4304</v>
      </c>
      <c r="K59" s="102">
        <f>4982+Javaslat!N585</f>
        <v>5852</v>
      </c>
      <c r="L59" s="102">
        <f>2177+Javaslat!N533</f>
        <v>3389</v>
      </c>
      <c r="M59" s="102">
        <f>1698+Javaslat!N604</f>
        <v>3133</v>
      </c>
      <c r="N59" s="102">
        <f>7289+Javaslat!N477</f>
        <v>8028</v>
      </c>
      <c r="O59" s="102">
        <f t="shared" si="17"/>
        <v>50548</v>
      </c>
    </row>
    <row r="60" spans="1:15" s="62" customFormat="1" ht="15" thickBot="1">
      <c r="A60" s="64" t="s">
        <v>81</v>
      </c>
      <c r="B60" s="121"/>
      <c r="C60" s="122"/>
      <c r="D60" s="123" t="s">
        <v>701</v>
      </c>
      <c r="E60" s="124" t="s">
        <v>707</v>
      </c>
      <c r="F60" s="63"/>
      <c r="G60" s="124"/>
      <c r="H60" s="125"/>
      <c r="I60" s="102"/>
      <c r="J60" s="102"/>
      <c r="K60" s="102"/>
      <c r="L60" s="102"/>
      <c r="M60" s="102"/>
      <c r="N60" s="102"/>
      <c r="O60" s="102">
        <f t="shared" si="17"/>
        <v>0</v>
      </c>
    </row>
    <row r="61" spans="1:15" s="62" customFormat="1" ht="15" thickBot="1">
      <c r="A61" s="64" t="s">
        <v>164</v>
      </c>
      <c r="B61" s="121"/>
      <c r="C61" s="122"/>
      <c r="D61" s="123" t="s">
        <v>702</v>
      </c>
      <c r="E61" s="126" t="s">
        <v>711</v>
      </c>
      <c r="F61" s="101"/>
      <c r="G61" s="126"/>
      <c r="H61" s="127"/>
      <c r="I61" s="103"/>
      <c r="J61" s="103"/>
      <c r="K61" s="103"/>
      <c r="L61" s="103"/>
      <c r="M61" s="103"/>
      <c r="N61" s="103"/>
      <c r="O61" s="103">
        <f t="shared" si="17"/>
        <v>0</v>
      </c>
    </row>
    <row r="62" spans="1:15" s="62" customFormat="1" ht="15" thickBot="1">
      <c r="A62" s="64" t="s">
        <v>165</v>
      </c>
      <c r="B62" s="121"/>
      <c r="C62" s="122"/>
      <c r="D62" s="123" t="s">
        <v>705</v>
      </c>
      <c r="E62" s="124" t="s">
        <v>709</v>
      </c>
      <c r="F62" s="63"/>
      <c r="G62" s="124"/>
      <c r="H62" s="125"/>
      <c r="I62" s="102"/>
      <c r="J62" s="102"/>
      <c r="K62" s="102"/>
      <c r="L62" s="102"/>
      <c r="M62" s="102"/>
      <c r="N62" s="102"/>
      <c r="O62" s="102">
        <f t="shared" si="17"/>
        <v>0</v>
      </c>
    </row>
    <row r="63" spans="1:15" s="62" customFormat="1" ht="15" thickBot="1">
      <c r="A63" s="64" t="s">
        <v>166</v>
      </c>
      <c r="B63" s="121"/>
      <c r="C63" s="122"/>
      <c r="D63" s="123" t="s">
        <v>706</v>
      </c>
      <c r="E63" s="124" t="s">
        <v>117</v>
      </c>
      <c r="F63" s="63"/>
      <c r="G63" s="124"/>
      <c r="H63" s="125"/>
      <c r="I63" s="102"/>
      <c r="J63" s="102"/>
      <c r="K63" s="102"/>
      <c r="L63" s="102"/>
      <c r="M63" s="102"/>
      <c r="N63" s="102"/>
      <c r="O63" s="102">
        <f t="shared" si="17"/>
        <v>0</v>
      </c>
    </row>
    <row r="64" spans="1:15" s="157" customFormat="1" ht="16.5" thickBot="1">
      <c r="A64" s="64" t="s">
        <v>167</v>
      </c>
      <c r="B64" s="154" t="s">
        <v>107</v>
      </c>
      <c r="C64" s="155" t="s">
        <v>116</v>
      </c>
      <c r="D64" s="170"/>
      <c r="E64" s="170"/>
      <c r="F64" s="155"/>
      <c r="G64" s="155"/>
      <c r="H64" s="155"/>
      <c r="I64" s="156">
        <f aca="true" t="shared" si="19" ref="I64:N64">SUM(I65:I67)</f>
        <v>10812</v>
      </c>
      <c r="J64" s="156">
        <f t="shared" si="19"/>
        <v>2310</v>
      </c>
      <c r="K64" s="156">
        <f t="shared" si="19"/>
        <v>714</v>
      </c>
      <c r="L64" s="156">
        <f t="shared" si="19"/>
        <v>1622</v>
      </c>
      <c r="M64" s="156">
        <f t="shared" si="19"/>
        <v>1033</v>
      </c>
      <c r="N64" s="156">
        <f t="shared" si="19"/>
        <v>1081</v>
      </c>
      <c r="O64" s="238">
        <f t="shared" si="17"/>
        <v>17572</v>
      </c>
    </row>
    <row r="65" spans="1:15" s="157" customFormat="1" ht="16.5" thickBot="1">
      <c r="A65" s="64" t="s">
        <v>168</v>
      </c>
      <c r="B65" s="158"/>
      <c r="C65" s="159" t="s">
        <v>109</v>
      </c>
      <c r="D65" s="160" t="s">
        <v>578</v>
      </c>
      <c r="E65" s="160"/>
      <c r="F65" s="160"/>
      <c r="G65" s="160"/>
      <c r="H65" s="161"/>
      <c r="I65" s="162">
        <f>3868+Javaslat!N512</f>
        <v>10812</v>
      </c>
      <c r="J65" s="162">
        <f>2132+Javaslat!N566</f>
        <v>2310</v>
      </c>
      <c r="K65" s="162">
        <v>714</v>
      </c>
      <c r="L65" s="162">
        <f>1400+Javaslat!N538</f>
        <v>1622</v>
      </c>
      <c r="M65" s="162">
        <v>1033</v>
      </c>
      <c r="N65" s="162">
        <f>500+Javaslat!N480</f>
        <v>1081</v>
      </c>
      <c r="O65" s="239">
        <f t="shared" si="17"/>
        <v>17572</v>
      </c>
    </row>
    <row r="66" spans="1:15" s="157" customFormat="1" ht="16.5" thickBot="1">
      <c r="A66" s="64" t="s">
        <v>169</v>
      </c>
      <c r="B66" s="158"/>
      <c r="C66" s="159" t="s">
        <v>110</v>
      </c>
      <c r="D66" s="163" t="s">
        <v>579</v>
      </c>
      <c r="E66" s="163"/>
      <c r="F66" s="163"/>
      <c r="G66" s="163"/>
      <c r="H66" s="165"/>
      <c r="I66" s="166"/>
      <c r="J66" s="166"/>
      <c r="K66" s="166"/>
      <c r="L66" s="166"/>
      <c r="M66" s="166"/>
      <c r="N66" s="166"/>
      <c r="O66" s="58">
        <f t="shared" si="17"/>
        <v>0</v>
      </c>
    </row>
    <row r="67" spans="1:15" s="157" customFormat="1" ht="16.5" thickBot="1">
      <c r="A67" s="64" t="s">
        <v>170</v>
      </c>
      <c r="B67" s="158"/>
      <c r="C67" s="159" t="s">
        <v>111</v>
      </c>
      <c r="D67" s="163" t="s">
        <v>580</v>
      </c>
      <c r="E67" s="164"/>
      <c r="F67" s="163"/>
      <c r="G67" s="163"/>
      <c r="H67" s="165"/>
      <c r="I67" s="166">
        <f aca="true" t="shared" si="20" ref="I67:N67">SUM(I68:I71)</f>
        <v>0</v>
      </c>
      <c r="J67" s="166">
        <f t="shared" si="20"/>
        <v>0</v>
      </c>
      <c r="K67" s="166">
        <f t="shared" si="20"/>
        <v>0</v>
      </c>
      <c r="L67" s="166">
        <f t="shared" si="20"/>
        <v>0</v>
      </c>
      <c r="M67" s="166">
        <f t="shared" si="20"/>
        <v>0</v>
      </c>
      <c r="N67" s="166">
        <f t="shared" si="20"/>
        <v>0</v>
      </c>
      <c r="O67" s="58">
        <f t="shared" si="17"/>
        <v>0</v>
      </c>
    </row>
    <row r="68" spans="1:15" s="62" customFormat="1" ht="15" thickBot="1">
      <c r="A68" s="64" t="s">
        <v>171</v>
      </c>
      <c r="B68" s="121"/>
      <c r="C68" s="128"/>
      <c r="D68" s="123" t="s">
        <v>712</v>
      </c>
      <c r="E68" s="124" t="s">
        <v>713</v>
      </c>
      <c r="F68" s="124"/>
      <c r="G68" s="124"/>
      <c r="H68" s="125"/>
      <c r="I68" s="102"/>
      <c r="J68" s="102"/>
      <c r="K68" s="102"/>
      <c r="L68" s="102"/>
      <c r="M68" s="102"/>
      <c r="N68" s="102"/>
      <c r="O68" s="102">
        <f t="shared" si="17"/>
        <v>0</v>
      </c>
    </row>
    <row r="69" spans="1:15" s="62" customFormat="1" ht="15" thickBot="1">
      <c r="A69" s="64" t="s">
        <v>172</v>
      </c>
      <c r="B69" s="121"/>
      <c r="C69" s="128"/>
      <c r="D69" s="123" t="s">
        <v>714</v>
      </c>
      <c r="E69" s="124" t="s">
        <v>581</v>
      </c>
      <c r="F69" s="124"/>
      <c r="G69" s="124"/>
      <c r="H69" s="125"/>
      <c r="I69" s="102"/>
      <c r="J69" s="102"/>
      <c r="K69" s="102"/>
      <c r="L69" s="102"/>
      <c r="M69" s="102"/>
      <c r="N69" s="102"/>
      <c r="O69" s="102">
        <f t="shared" si="17"/>
        <v>0</v>
      </c>
    </row>
    <row r="70" spans="1:15" s="62" customFormat="1" ht="15" thickBot="1">
      <c r="A70" s="64" t="s">
        <v>173</v>
      </c>
      <c r="B70" s="121"/>
      <c r="C70" s="128"/>
      <c r="D70" s="123" t="s">
        <v>715</v>
      </c>
      <c r="E70" s="124" t="s">
        <v>716</v>
      </c>
      <c r="F70" s="63"/>
      <c r="G70" s="124"/>
      <c r="H70" s="125"/>
      <c r="I70" s="102"/>
      <c r="J70" s="102"/>
      <c r="K70" s="102"/>
      <c r="L70" s="102"/>
      <c r="M70" s="102"/>
      <c r="N70" s="102"/>
      <c r="O70" s="102">
        <f t="shared" si="17"/>
        <v>0</v>
      </c>
    </row>
    <row r="71" spans="1:15" s="62" customFormat="1" ht="15" thickBot="1">
      <c r="A71" s="64" t="s">
        <v>174</v>
      </c>
      <c r="B71" s="121"/>
      <c r="C71" s="128"/>
      <c r="D71" s="123" t="s">
        <v>717</v>
      </c>
      <c r="E71" s="124" t="s">
        <v>582</v>
      </c>
      <c r="F71" s="63"/>
      <c r="G71" s="124"/>
      <c r="H71" s="125"/>
      <c r="I71" s="103"/>
      <c r="J71" s="103"/>
      <c r="K71" s="103"/>
      <c r="L71" s="103"/>
      <c r="M71" s="103"/>
      <c r="N71" s="103"/>
      <c r="O71" s="103">
        <f t="shared" si="17"/>
        <v>0</v>
      </c>
    </row>
    <row r="72" spans="1:15" s="150" customFormat="1" ht="30" customHeight="1" thickBot="1">
      <c r="A72" s="64" t="s">
        <v>175</v>
      </c>
      <c r="B72" s="186" t="s">
        <v>952</v>
      </c>
      <c r="C72" s="171"/>
      <c r="D72" s="172"/>
      <c r="E72" s="172"/>
      <c r="F72" s="172"/>
      <c r="G72" s="172"/>
      <c r="H72" s="172"/>
      <c r="I72" s="147">
        <f aca="true" t="shared" si="21" ref="I72:N72">SUM(I53,I64)</f>
        <v>463466</v>
      </c>
      <c r="J72" s="147">
        <f t="shared" si="21"/>
        <v>133468</v>
      </c>
      <c r="K72" s="147">
        <f t="shared" si="21"/>
        <v>126620</v>
      </c>
      <c r="L72" s="147">
        <f t="shared" si="21"/>
        <v>196499</v>
      </c>
      <c r="M72" s="147">
        <f t="shared" si="21"/>
        <v>76196</v>
      </c>
      <c r="N72" s="147">
        <f t="shared" si="21"/>
        <v>122346</v>
      </c>
      <c r="O72" s="237">
        <f t="shared" si="17"/>
        <v>1118595</v>
      </c>
    </row>
    <row r="73" spans="1:15" s="157" customFormat="1" ht="16.5" thickBot="1">
      <c r="A73" s="64" t="s">
        <v>176</v>
      </c>
      <c r="B73" s="154" t="s">
        <v>112</v>
      </c>
      <c r="C73" s="155" t="s">
        <v>583</v>
      </c>
      <c r="D73" s="155"/>
      <c r="E73" s="155"/>
      <c r="F73" s="155"/>
      <c r="G73" s="155"/>
      <c r="H73" s="155"/>
      <c r="I73" s="156">
        <f aca="true" t="shared" si="22" ref="I73:N73">SUM(I74,I76)</f>
        <v>0</v>
      </c>
      <c r="J73" s="156">
        <f t="shared" si="22"/>
        <v>0</v>
      </c>
      <c r="K73" s="156">
        <f t="shared" si="22"/>
        <v>0</v>
      </c>
      <c r="L73" s="156">
        <f t="shared" si="22"/>
        <v>0</v>
      </c>
      <c r="M73" s="156">
        <f t="shared" si="22"/>
        <v>0</v>
      </c>
      <c r="N73" s="156">
        <f t="shared" si="22"/>
        <v>0</v>
      </c>
      <c r="O73" s="238">
        <f t="shared" si="17"/>
        <v>0</v>
      </c>
    </row>
    <row r="74" spans="1:15" s="157" customFormat="1" ht="16.5" thickBot="1">
      <c r="A74" s="64" t="s">
        <v>177</v>
      </c>
      <c r="B74" s="158"/>
      <c r="C74" s="173" t="s">
        <v>113</v>
      </c>
      <c r="D74" s="174" t="s">
        <v>587</v>
      </c>
      <c r="E74" s="174"/>
      <c r="F74" s="174"/>
      <c r="G74" s="174"/>
      <c r="H74" s="175"/>
      <c r="I74" s="194">
        <f aca="true" t="shared" si="23" ref="I74:N74">SUM(I75)</f>
        <v>0</v>
      </c>
      <c r="J74" s="194">
        <f t="shared" si="23"/>
        <v>0</v>
      </c>
      <c r="K74" s="194">
        <f t="shared" si="23"/>
        <v>0</v>
      </c>
      <c r="L74" s="194">
        <f t="shared" si="23"/>
        <v>0</v>
      </c>
      <c r="M74" s="194">
        <f t="shared" si="23"/>
        <v>0</v>
      </c>
      <c r="N74" s="194">
        <f t="shared" si="23"/>
        <v>0</v>
      </c>
      <c r="O74" s="240">
        <f t="shared" si="17"/>
        <v>0</v>
      </c>
    </row>
    <row r="75" spans="1:15" s="110" customFormat="1" ht="15" customHeight="1" thickBot="1">
      <c r="A75" s="64" t="s">
        <v>178</v>
      </c>
      <c r="B75" s="109"/>
      <c r="C75" s="95"/>
      <c r="D75" s="129" t="s">
        <v>698</v>
      </c>
      <c r="E75" s="107" t="s">
        <v>718</v>
      </c>
      <c r="F75" s="107"/>
      <c r="G75" s="107"/>
      <c r="H75" s="107"/>
      <c r="I75" s="108"/>
      <c r="J75" s="108"/>
      <c r="K75" s="108"/>
      <c r="L75" s="108"/>
      <c r="M75" s="108"/>
      <c r="N75" s="108"/>
      <c r="O75" s="206">
        <f t="shared" si="17"/>
        <v>0</v>
      </c>
    </row>
    <row r="76" spans="1:15" s="134" customFormat="1" ht="15" customHeight="1" thickBot="1">
      <c r="A76" s="64" t="s">
        <v>179</v>
      </c>
      <c r="B76" s="195"/>
      <c r="C76" s="196" t="s">
        <v>588</v>
      </c>
      <c r="D76" s="197" t="s">
        <v>593</v>
      </c>
      <c r="E76" s="198"/>
      <c r="F76" s="198"/>
      <c r="G76" s="198"/>
      <c r="H76" s="198"/>
      <c r="I76" s="199"/>
      <c r="J76" s="199"/>
      <c r="K76" s="199"/>
      <c r="L76" s="199"/>
      <c r="M76" s="199"/>
      <c r="N76" s="199"/>
      <c r="O76" s="241">
        <f t="shared" si="17"/>
        <v>0</v>
      </c>
    </row>
    <row r="77" spans="1:15" s="157" customFormat="1" ht="16.5" thickBot="1">
      <c r="A77" s="64" t="s">
        <v>180</v>
      </c>
      <c r="B77" s="154" t="s">
        <v>584</v>
      </c>
      <c r="C77" s="155" t="s">
        <v>118</v>
      </c>
      <c r="D77" s="170"/>
      <c r="E77" s="170"/>
      <c r="F77" s="155"/>
      <c r="G77" s="155"/>
      <c r="H77" s="176"/>
      <c r="I77" s="156"/>
      <c r="J77" s="156"/>
      <c r="K77" s="156"/>
      <c r="L77" s="156"/>
      <c r="M77" s="156"/>
      <c r="N77" s="156"/>
      <c r="O77" s="238">
        <f t="shared" si="17"/>
        <v>0</v>
      </c>
    </row>
    <row r="78" spans="1:15" s="150" customFormat="1" ht="30" customHeight="1" thickBot="1">
      <c r="A78" s="64" t="s">
        <v>181</v>
      </c>
      <c r="B78" s="177" t="s">
        <v>953</v>
      </c>
      <c r="C78" s="178"/>
      <c r="D78" s="179"/>
      <c r="E78" s="179"/>
      <c r="F78" s="179"/>
      <c r="G78" s="179"/>
      <c r="H78" s="179"/>
      <c r="I78" s="180">
        <f aca="true" t="shared" si="24" ref="I78:N78">SUM(I72,I73,I77)</f>
        <v>463466</v>
      </c>
      <c r="J78" s="180">
        <f t="shared" si="24"/>
        <v>133468</v>
      </c>
      <c r="K78" s="180">
        <f t="shared" si="24"/>
        <v>126620</v>
      </c>
      <c r="L78" s="180">
        <f t="shared" si="24"/>
        <v>196499</v>
      </c>
      <c r="M78" s="180">
        <f t="shared" si="24"/>
        <v>76196</v>
      </c>
      <c r="N78" s="180">
        <f t="shared" si="24"/>
        <v>122346</v>
      </c>
      <c r="O78" s="242">
        <f t="shared" si="17"/>
        <v>1118595</v>
      </c>
    </row>
  </sheetData>
  <sheetProtection/>
  <mergeCells count="8">
    <mergeCell ref="E4:H4"/>
    <mergeCell ref="B6:H6"/>
    <mergeCell ref="B50:H50"/>
    <mergeCell ref="B52:H52"/>
    <mergeCell ref="E9:H9"/>
    <mergeCell ref="B41:H41"/>
    <mergeCell ref="C42:H42"/>
    <mergeCell ref="B5:N5"/>
  </mergeCells>
  <printOptions horizontalCentered="1"/>
  <pageMargins left="0.7086614173228347" right="0.7086614173228347" top="0.7480314960629921" bottom="0.7480314960629921" header="0.31496062992125984" footer="0.31496062992125984"/>
  <pageSetup horizontalDpi="600" verticalDpi="600" orientation="portrait" paperSize="8" scale="52" r:id="rId1"/>
  <headerFoot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Tóth Mónika</cp:lastModifiedBy>
  <cp:lastPrinted>2014-09-17T12:58:48Z</cp:lastPrinted>
  <dcterms:created xsi:type="dcterms:W3CDTF">2013-01-30T07:43:45Z</dcterms:created>
  <dcterms:modified xsi:type="dcterms:W3CDTF">2014-09-17T13:30:37Z</dcterms:modified>
  <cp:category/>
  <cp:version/>
  <cp:contentType/>
  <cp:contentStatus/>
</cp:coreProperties>
</file>